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524"/>
  <workbookPr/>
  <mc:AlternateContent xmlns:mc="http://schemas.openxmlformats.org/markup-compatibility/2006">
    <mc:Choice Requires="x15">
      <x15ac:absPath xmlns:x15ac="http://schemas.microsoft.com/office/spreadsheetml/2010/11/ac" url="C:\Users\major\OneDrive - MUNICIPALIDAD DE LUJÁN DE CUYO\AREA GIS_MODERNIZACION\2022\Gobierno Abierto\Indice ciudade abiertas\Obras\"/>
    </mc:Choice>
  </mc:AlternateContent>
  <xr:revisionPtr revIDLastSave="2" documentId="11_C7348B6B0545643DA014E58006BE7BD98688437A" xr6:coauthVersionLast="47" xr6:coauthVersionMax="47" xr10:uidLastSave="{1781BA0C-5D72-451C-A540-616CB2F1E58C}"/>
  <bookViews>
    <workbookView xWindow="0" yWindow="0" windowWidth="25635" windowHeight="9915" firstSheet="30" activeTab="30" xr2:uid="{00000000-000D-0000-FFFF-FFFF00000000}"/>
  </bookViews>
  <sheets>
    <sheet name="PASEO ESTAC." sheetId="2" state="hidden" r:id="rId1"/>
    <sheet name="OBRAS DE Hº" sheetId="3" state="hidden" r:id="rId2"/>
    <sheet name="ALTE BROWN" sheetId="4" state="hidden" r:id="rId3"/>
    <sheet name="PLAYON VERT" sheetId="5" state="hidden" r:id="rId4"/>
    <sheet name="VALLE AGRELO I y II" sheetId="6" state="hidden" r:id="rId5"/>
    <sheet name="FUERZA UNIDA" sheetId="7" state="hidden" r:id="rId6"/>
    <sheet name="Bº JARDÍN" sheetId="8" state="hidden" r:id="rId7"/>
    <sheet name="CLOACAS CHACRAS" sheetId="9" state="hidden" r:id="rId8"/>
    <sheet name="BRANDSEN Y R15" sheetId="10" state="hidden" r:id="rId9"/>
    <sheet name="ZAPIOLA" sheetId="11" state="hidden" r:id="rId10"/>
    <sheet name="PERF. RIBERA" sheetId="12" state="hidden" r:id="rId11"/>
    <sheet name="CLOACAS B° CORDON" sheetId="13" state="hidden" r:id="rId12"/>
    <sheet name="CLOACAS PERDRIEL" sheetId="14" state="hidden" r:id="rId13"/>
    <sheet name="PAV ADMIN" sheetId="15" state="hidden" r:id="rId14"/>
    <sheet name="COSTA ESP" sheetId="16" state="hidden" r:id="rId15"/>
    <sheet name="REM. ELECT" sheetId="17" state="hidden" r:id="rId16"/>
    <sheet name="SUBT LMT" sheetId="18" state="hidden" r:id="rId17"/>
    <sheet name="CAMARA TRANSF" sheetId="19" state="hidden" r:id="rId18"/>
    <sheet name="AUMENTO POT" sheetId="20" state="hidden" r:id="rId19"/>
    <sheet name="ASC. PARQ" sheetId="21" state="hidden" r:id="rId20"/>
    <sheet name="ALUMB PARQ" sheetId="22" state="hidden" r:id="rId21"/>
    <sheet name="ALUMB BOEDO" sheetId="23" state="hidden" r:id="rId22"/>
    <sheet name="COLEC JUJUY" sheetId="24" state="hidden" r:id="rId23"/>
    <sheet name="MAT FERRY" sheetId="25" state="hidden" r:id="rId24"/>
    <sheet name="M.O. FERRY" sheetId="26" state="hidden" r:id="rId25"/>
    <sheet name="RED PIM 2" sheetId="27" state="hidden" r:id="rId26"/>
    <sheet name="ILUM Pº RIB 1° et" sheetId="28" state="hidden" r:id="rId27"/>
    <sheet name="COLEC CHACO" sheetId="29" state="hidden" r:id="rId28"/>
    <sheet name="COLEC BALC" sheetId="30" state="hidden" r:id="rId29"/>
    <sheet name="COLEC SAENZ" sheetId="31" state="hidden" r:id="rId30"/>
    <sheet name="BD" sheetId="32" r:id="rId31"/>
    <sheet name="BD VIEJA" sheetId="33" state="hidden" r:id="rId32"/>
  </sheets>
  <definedNames>
    <definedName name="indice" localSheetId="2">#REF!</definedName>
    <definedName name="indice" localSheetId="21">#REF!</definedName>
    <definedName name="indice" localSheetId="20">#REF!</definedName>
    <definedName name="indice" localSheetId="19">#REF!</definedName>
    <definedName name="indice" localSheetId="18">#REF!</definedName>
    <definedName name="indice" localSheetId="6">#REF!</definedName>
    <definedName name="indice" localSheetId="8">#REF!</definedName>
    <definedName name="indice" localSheetId="17">#REF!</definedName>
    <definedName name="indice" localSheetId="11">#REF!</definedName>
    <definedName name="indice" localSheetId="12">#REF!</definedName>
    <definedName name="indice" localSheetId="22">#REF!</definedName>
    <definedName name="indice" localSheetId="14">#REF!</definedName>
    <definedName name="indice" localSheetId="5">#REF!</definedName>
    <definedName name="indice" localSheetId="13">#REF!</definedName>
    <definedName name="indice" localSheetId="10">#REF!</definedName>
    <definedName name="indice" localSheetId="3">#REF!</definedName>
    <definedName name="indice" localSheetId="15">#REF!</definedName>
    <definedName name="indice" localSheetId="16">#REF!</definedName>
    <definedName name="indice" localSheetId="4">#REF!</definedName>
    <definedName name="indice" localSheetId="9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54" i="33" l="1"/>
  <c r="AH53" i="33"/>
  <c r="AH52" i="33"/>
  <c r="AH51" i="33"/>
  <c r="AH50" i="33"/>
  <c r="AG50" i="33"/>
  <c r="AH49" i="33"/>
  <c r="AG49" i="33"/>
  <c r="AH48" i="33"/>
  <c r="AG48" i="33"/>
  <c r="AH47" i="33"/>
  <c r="AG47" i="33"/>
  <c r="AH46" i="33"/>
  <c r="AG46" i="33"/>
  <c r="AH45" i="33"/>
  <c r="AG45" i="33"/>
  <c r="AH44" i="33"/>
  <c r="AG44" i="33"/>
  <c r="AH43" i="33"/>
  <c r="AG43" i="33"/>
  <c r="T31" i="33"/>
  <c r="O23" i="33"/>
  <c r="O22" i="33"/>
  <c r="AB16" i="33"/>
  <c r="AG15" i="33"/>
  <c r="T15" i="33"/>
  <c r="N15" i="33"/>
  <c r="AI14" i="33"/>
  <c r="AH14" i="33"/>
  <c r="AG14" i="33"/>
  <c r="AF14" i="33"/>
  <c r="AE14" i="33"/>
  <c r="AD14" i="33"/>
  <c r="AC14" i="33"/>
  <c r="AB14" i="33"/>
  <c r="AA14" i="33"/>
  <c r="Z14" i="33"/>
  <c r="Y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AI13" i="33"/>
  <c r="AI18" i="33" s="1"/>
  <c r="AH13" i="33"/>
  <c r="AH18" i="33" s="1"/>
  <c r="AG13" i="33"/>
  <c r="AG18" i="33" s="1"/>
  <c r="AF13" i="33"/>
  <c r="AF18" i="33" s="1"/>
  <c r="AE13" i="33"/>
  <c r="AE18" i="33" s="1"/>
  <c r="AD13" i="33"/>
  <c r="AD18" i="33" s="1"/>
  <c r="AC13" i="33"/>
  <c r="AB13" i="33"/>
  <c r="AA13" i="33"/>
  <c r="Z13" i="33"/>
  <c r="Z18" i="33" s="1"/>
  <c r="Y13" i="33"/>
  <c r="Y18" i="33" s="1"/>
  <c r="X13" i="33"/>
  <c r="X18" i="33" s="1"/>
  <c r="W13" i="33"/>
  <c r="V13" i="33"/>
  <c r="U13" i="33"/>
  <c r="U18" i="33" s="1"/>
  <c r="T13" i="33"/>
  <c r="T18" i="33" s="1"/>
  <c r="S13" i="33"/>
  <c r="S18" i="33" s="1"/>
  <c r="R13" i="33"/>
  <c r="R18" i="33" s="1"/>
  <c r="Q13" i="33"/>
  <c r="P13" i="33"/>
  <c r="O13" i="33"/>
  <c r="O18" i="33" s="1"/>
  <c r="N13" i="33"/>
  <c r="N18" i="33" s="1"/>
  <c r="M13" i="33"/>
  <c r="M18" i="33" s="1"/>
  <c r="L13" i="33"/>
  <c r="K13" i="33"/>
  <c r="K18" i="33" s="1"/>
  <c r="J13" i="33"/>
  <c r="J18" i="33" s="1"/>
  <c r="I13" i="33"/>
  <c r="I18" i="33" s="1"/>
  <c r="H13" i="33"/>
  <c r="H18" i="33" s="1"/>
  <c r="G13" i="33"/>
  <c r="G18" i="33" s="1"/>
  <c r="F13" i="33"/>
  <c r="F18" i="33" s="1"/>
  <c r="E13" i="33"/>
  <c r="E18" i="33" s="1"/>
  <c r="D13" i="33"/>
  <c r="C13" i="33"/>
  <c r="C18" i="33" s="1"/>
  <c r="B13" i="33"/>
  <c r="B18" i="33" s="1"/>
  <c r="Q12" i="33"/>
  <c r="Q18" i="33" s="1"/>
  <c r="P12" i="33"/>
  <c r="P18" i="33" s="1"/>
  <c r="AI11" i="33"/>
  <c r="AH11" i="33"/>
  <c r="AF11" i="33"/>
  <c r="AE11" i="33"/>
  <c r="AB11" i="33"/>
  <c r="Y11" i="33"/>
  <c r="U11" i="33"/>
  <c r="T11" i="33"/>
  <c r="S11" i="33"/>
  <c r="R11" i="33"/>
  <c r="Q11" i="33"/>
  <c r="P11" i="33"/>
  <c r="N11" i="33"/>
  <c r="M11" i="33"/>
  <c r="L11" i="33"/>
  <c r="K11" i="33"/>
  <c r="I11" i="33"/>
  <c r="H11" i="33"/>
  <c r="G11" i="33"/>
  <c r="F11" i="33"/>
  <c r="E11" i="33"/>
  <c r="C11" i="33"/>
  <c r="J10" i="33"/>
  <c r="D10" i="33"/>
  <c r="D11" i="33" s="1"/>
  <c r="B10" i="33"/>
  <c r="B11" i="33" s="1"/>
  <c r="AF9" i="33"/>
  <c r="AE9" i="33"/>
  <c r="AB9" i="33"/>
  <c r="X9" i="33"/>
  <c r="W9" i="33"/>
  <c r="V9" i="33"/>
  <c r="U9" i="33"/>
  <c r="T9" i="33"/>
  <c r="R9" i="33"/>
  <c r="Q9" i="33"/>
  <c r="P9" i="33"/>
  <c r="N9" i="33"/>
  <c r="M9" i="33"/>
  <c r="L9" i="33"/>
  <c r="K9" i="33"/>
  <c r="J9" i="33"/>
  <c r="I9" i="33"/>
  <c r="H9" i="33"/>
  <c r="E9" i="33"/>
  <c r="D9" i="33"/>
  <c r="C9" i="33"/>
  <c r="B9" i="33"/>
  <c r="AG8" i="33"/>
  <c r="AD8" i="33"/>
  <c r="AD9" i="33" s="1"/>
  <c r="AC8" i="33"/>
  <c r="AC11" i="33" s="1"/>
  <c r="AA8" i="33"/>
  <c r="Z8" i="33"/>
  <c r="O8" i="33"/>
  <c r="H16" i="32"/>
  <c r="H4" i="32"/>
  <c r="H3" i="32"/>
  <c r="E71" i="31"/>
  <c r="K71" i="31" s="1"/>
  <c r="E70" i="31"/>
  <c r="K70" i="31" s="1"/>
  <c r="E69" i="31"/>
  <c r="K69" i="31" s="1"/>
  <c r="E68" i="31"/>
  <c r="H63" i="31"/>
  <c r="I63" i="31" s="1"/>
  <c r="E60" i="31"/>
  <c r="K60" i="31" s="1"/>
  <c r="E59" i="31"/>
  <c r="K59" i="31" s="1"/>
  <c r="E58" i="31"/>
  <c r="K58" i="31" s="1"/>
  <c r="E57" i="31"/>
  <c r="K57" i="31" s="1"/>
  <c r="K62" i="31" s="1"/>
  <c r="J13" i="31" s="1"/>
  <c r="H49" i="31"/>
  <c r="O49" i="31" s="1"/>
  <c r="G49" i="31"/>
  <c r="E49" i="31"/>
  <c r="K49" i="31" s="1"/>
  <c r="H48" i="31"/>
  <c r="G48" i="31"/>
  <c r="M48" i="31" s="1"/>
  <c r="E48" i="31"/>
  <c r="K48" i="31" s="1"/>
  <c r="H47" i="31"/>
  <c r="O47" i="31" s="1"/>
  <c r="G47" i="31"/>
  <c r="E47" i="31"/>
  <c r="K47" i="31" s="1"/>
  <c r="H46" i="31"/>
  <c r="H51" i="31" s="1"/>
  <c r="G46" i="31"/>
  <c r="G51" i="31" s="1"/>
  <c r="E46" i="31"/>
  <c r="H38" i="31"/>
  <c r="O38" i="31" s="1"/>
  <c r="S38" i="31" s="1"/>
  <c r="G38" i="31"/>
  <c r="M38" i="31" s="1"/>
  <c r="E38" i="31"/>
  <c r="B38" i="31"/>
  <c r="H37" i="31"/>
  <c r="O37" i="31" s="1"/>
  <c r="S37" i="31" s="1"/>
  <c r="G37" i="31"/>
  <c r="I37" i="31" s="1"/>
  <c r="E37" i="31"/>
  <c r="B37" i="31"/>
  <c r="H36" i="31"/>
  <c r="O36" i="31" s="1"/>
  <c r="S36" i="31" s="1"/>
  <c r="G36" i="31"/>
  <c r="M36" i="31" s="1"/>
  <c r="E36" i="31"/>
  <c r="B36" i="31"/>
  <c r="H35" i="31"/>
  <c r="O35" i="31" s="1"/>
  <c r="S35" i="31" s="1"/>
  <c r="G35" i="31"/>
  <c r="E35" i="31"/>
  <c r="B35" i="31"/>
  <c r="H34" i="31"/>
  <c r="O34" i="31" s="1"/>
  <c r="S34" i="31" s="1"/>
  <c r="G34" i="31"/>
  <c r="E34" i="31"/>
  <c r="K34" i="31" s="1"/>
  <c r="B34" i="31"/>
  <c r="H33" i="31"/>
  <c r="O33" i="31" s="1"/>
  <c r="S33" i="31" s="1"/>
  <c r="G33" i="31"/>
  <c r="E33" i="31"/>
  <c r="B33" i="31"/>
  <c r="H32" i="31"/>
  <c r="O32" i="31" s="1"/>
  <c r="S32" i="31" s="1"/>
  <c r="G32" i="31"/>
  <c r="E32" i="31"/>
  <c r="B32" i="31"/>
  <c r="H31" i="31"/>
  <c r="O31" i="31" s="1"/>
  <c r="S31" i="31" s="1"/>
  <c r="G31" i="31"/>
  <c r="E31" i="31"/>
  <c r="B31" i="31"/>
  <c r="H30" i="31"/>
  <c r="O30" i="31" s="1"/>
  <c r="S30" i="31" s="1"/>
  <c r="G30" i="31"/>
  <c r="E30" i="31"/>
  <c r="B30" i="31"/>
  <c r="H29" i="31"/>
  <c r="O29" i="31" s="1"/>
  <c r="S29" i="31" s="1"/>
  <c r="G29" i="31"/>
  <c r="E29" i="31"/>
  <c r="B29" i="31"/>
  <c r="H28" i="31"/>
  <c r="O28" i="31" s="1"/>
  <c r="S28" i="31" s="1"/>
  <c r="G28" i="31"/>
  <c r="E28" i="31"/>
  <c r="B28" i="31"/>
  <c r="H27" i="31"/>
  <c r="O27" i="31" s="1"/>
  <c r="S27" i="31" s="1"/>
  <c r="G27" i="31"/>
  <c r="M27" i="31" s="1"/>
  <c r="E27" i="31"/>
  <c r="B27" i="31"/>
  <c r="H26" i="31"/>
  <c r="O26" i="31" s="1"/>
  <c r="S26" i="31" s="1"/>
  <c r="G26" i="31"/>
  <c r="M26" i="31" s="1"/>
  <c r="E26" i="31"/>
  <c r="B26" i="31"/>
  <c r="T25" i="31"/>
  <c r="H25" i="31"/>
  <c r="O25" i="31" s="1"/>
  <c r="S25" i="31" s="1"/>
  <c r="G25" i="31"/>
  <c r="M25" i="31" s="1"/>
  <c r="E25" i="31"/>
  <c r="B25" i="31"/>
  <c r="H24" i="31"/>
  <c r="O24" i="31" s="1"/>
  <c r="S24" i="31" s="1"/>
  <c r="G24" i="31"/>
  <c r="M24" i="31" s="1"/>
  <c r="E24" i="31"/>
  <c r="B24" i="31"/>
  <c r="T23" i="31"/>
  <c r="H23" i="31"/>
  <c r="O23" i="31" s="1"/>
  <c r="S23" i="31" s="1"/>
  <c r="G23" i="31"/>
  <c r="M23" i="31" s="1"/>
  <c r="E23" i="31"/>
  <c r="B23" i="31"/>
  <c r="T22" i="31"/>
  <c r="T41" i="31" s="1"/>
  <c r="I52" i="31" s="1"/>
  <c r="H22" i="31"/>
  <c r="G22" i="31"/>
  <c r="M22" i="31" s="1"/>
  <c r="L40" i="31" s="1"/>
  <c r="E22" i="31"/>
  <c r="B22" i="31"/>
  <c r="B40" i="31" s="1"/>
  <c r="H21" i="31"/>
  <c r="O21" i="31" s="1"/>
  <c r="G21" i="31"/>
  <c r="O20" i="31"/>
  <c r="M20" i="31"/>
  <c r="I20" i="31"/>
  <c r="L11" i="31"/>
  <c r="J11" i="31"/>
  <c r="I11" i="31"/>
  <c r="H11" i="31"/>
  <c r="G11" i="31"/>
  <c r="F11" i="31"/>
  <c r="E21" i="31" s="1"/>
  <c r="E11" i="31"/>
  <c r="E8" i="31"/>
  <c r="N7" i="31"/>
  <c r="G7" i="31"/>
  <c r="E7" i="31"/>
  <c r="G6" i="31"/>
  <c r="E6" i="31"/>
  <c r="N5" i="31"/>
  <c r="G5" i="31"/>
  <c r="E5" i="31"/>
  <c r="E3" i="31"/>
  <c r="E71" i="30"/>
  <c r="K71" i="30" s="1"/>
  <c r="E70" i="30"/>
  <c r="K70" i="30" s="1"/>
  <c r="E69" i="30"/>
  <c r="K69" i="30" s="1"/>
  <c r="E68" i="30"/>
  <c r="H63" i="30"/>
  <c r="I63" i="30" s="1"/>
  <c r="E60" i="30"/>
  <c r="K60" i="30" s="1"/>
  <c r="E59" i="30"/>
  <c r="K59" i="30" s="1"/>
  <c r="E58" i="30"/>
  <c r="K58" i="30" s="1"/>
  <c r="E57" i="30"/>
  <c r="H49" i="30"/>
  <c r="O49" i="30" s="1"/>
  <c r="G49" i="30"/>
  <c r="M49" i="30" s="1"/>
  <c r="E49" i="30"/>
  <c r="K49" i="30" s="1"/>
  <c r="H48" i="30"/>
  <c r="O48" i="30" s="1"/>
  <c r="G48" i="30"/>
  <c r="I48" i="30" s="1"/>
  <c r="E48" i="30"/>
  <c r="K48" i="30" s="1"/>
  <c r="H47" i="30"/>
  <c r="O47" i="30" s="1"/>
  <c r="G47" i="30"/>
  <c r="E47" i="30"/>
  <c r="K47" i="30" s="1"/>
  <c r="H46" i="30"/>
  <c r="H51" i="30" s="1"/>
  <c r="G46" i="30"/>
  <c r="E46" i="30"/>
  <c r="H38" i="30"/>
  <c r="O38" i="30" s="1"/>
  <c r="S38" i="30" s="1"/>
  <c r="G38" i="30"/>
  <c r="E38" i="30"/>
  <c r="B38" i="30"/>
  <c r="H37" i="30"/>
  <c r="O37" i="30" s="1"/>
  <c r="S37" i="30" s="1"/>
  <c r="G37" i="30"/>
  <c r="E37" i="30"/>
  <c r="B37" i="30"/>
  <c r="H36" i="30"/>
  <c r="O36" i="30" s="1"/>
  <c r="S36" i="30" s="1"/>
  <c r="G36" i="30"/>
  <c r="M36" i="30" s="1"/>
  <c r="E36" i="30"/>
  <c r="B36" i="30"/>
  <c r="H35" i="30"/>
  <c r="O35" i="30" s="1"/>
  <c r="S35" i="30" s="1"/>
  <c r="G35" i="30"/>
  <c r="M35" i="30" s="1"/>
  <c r="E35" i="30"/>
  <c r="B35" i="30"/>
  <c r="H34" i="30"/>
  <c r="O34" i="30" s="1"/>
  <c r="S34" i="30" s="1"/>
  <c r="G34" i="30"/>
  <c r="I34" i="30" s="1"/>
  <c r="E34" i="30"/>
  <c r="B34" i="30"/>
  <c r="H33" i="30"/>
  <c r="O33" i="30" s="1"/>
  <c r="S33" i="30" s="1"/>
  <c r="G33" i="30"/>
  <c r="M33" i="30" s="1"/>
  <c r="E33" i="30"/>
  <c r="B33" i="30"/>
  <c r="H32" i="30"/>
  <c r="O32" i="30" s="1"/>
  <c r="S32" i="30" s="1"/>
  <c r="G32" i="30"/>
  <c r="E32" i="30"/>
  <c r="B32" i="30"/>
  <c r="H31" i="30"/>
  <c r="O31" i="30" s="1"/>
  <c r="S31" i="30" s="1"/>
  <c r="G31" i="30"/>
  <c r="E31" i="30"/>
  <c r="K31" i="30" s="1"/>
  <c r="B31" i="30"/>
  <c r="H30" i="30"/>
  <c r="O30" i="30" s="1"/>
  <c r="S30" i="30" s="1"/>
  <c r="G30" i="30"/>
  <c r="E30" i="30"/>
  <c r="B30" i="30"/>
  <c r="H29" i="30"/>
  <c r="O29" i="30" s="1"/>
  <c r="S29" i="30" s="1"/>
  <c r="G29" i="30"/>
  <c r="E29" i="30"/>
  <c r="B29" i="30"/>
  <c r="H28" i="30"/>
  <c r="O28" i="30" s="1"/>
  <c r="S28" i="30" s="1"/>
  <c r="G28" i="30"/>
  <c r="E28" i="30"/>
  <c r="B28" i="30"/>
  <c r="H27" i="30"/>
  <c r="O27" i="30" s="1"/>
  <c r="S27" i="30" s="1"/>
  <c r="G27" i="30"/>
  <c r="E27" i="30"/>
  <c r="B27" i="30"/>
  <c r="H26" i="30"/>
  <c r="O26" i="30" s="1"/>
  <c r="S26" i="30" s="1"/>
  <c r="G26" i="30"/>
  <c r="E26" i="30"/>
  <c r="B26" i="30"/>
  <c r="T25" i="30"/>
  <c r="H25" i="30"/>
  <c r="O25" i="30" s="1"/>
  <c r="S25" i="30" s="1"/>
  <c r="G25" i="30"/>
  <c r="E25" i="30"/>
  <c r="B25" i="30"/>
  <c r="T24" i="30"/>
  <c r="H24" i="30"/>
  <c r="O24" i="30" s="1"/>
  <c r="S24" i="30" s="1"/>
  <c r="G24" i="30"/>
  <c r="E24" i="30"/>
  <c r="B24" i="30"/>
  <c r="T23" i="30"/>
  <c r="H23" i="30"/>
  <c r="O23" i="30" s="1"/>
  <c r="S23" i="30" s="1"/>
  <c r="G23" i="30"/>
  <c r="E23" i="30"/>
  <c r="B23" i="30"/>
  <c r="T22" i="30"/>
  <c r="T41" i="30" s="1"/>
  <c r="I52" i="30" s="1"/>
  <c r="H22" i="30"/>
  <c r="G22" i="30"/>
  <c r="E22" i="30"/>
  <c r="B22" i="30"/>
  <c r="B40" i="30" s="1"/>
  <c r="H21" i="30"/>
  <c r="O21" i="30" s="1"/>
  <c r="G21" i="30"/>
  <c r="G40" i="30" s="1"/>
  <c r="O20" i="30"/>
  <c r="M20" i="30"/>
  <c r="I20" i="30"/>
  <c r="L11" i="30"/>
  <c r="J11" i="30"/>
  <c r="I11" i="30"/>
  <c r="H11" i="30"/>
  <c r="G11" i="30"/>
  <c r="F11" i="30"/>
  <c r="E21" i="30" s="1"/>
  <c r="E11" i="30"/>
  <c r="E20" i="30" s="1"/>
  <c r="K20" i="30" s="1"/>
  <c r="E8" i="30"/>
  <c r="N7" i="30"/>
  <c r="G7" i="30"/>
  <c r="E7" i="30"/>
  <c r="G8" i="30" s="1"/>
  <c r="G6" i="30"/>
  <c r="E6" i="30"/>
  <c r="N5" i="30"/>
  <c r="G5" i="30"/>
  <c r="E5" i="30"/>
  <c r="E3" i="30"/>
  <c r="E71" i="29"/>
  <c r="K71" i="29" s="1"/>
  <c r="E70" i="29"/>
  <c r="K70" i="29" s="1"/>
  <c r="E69" i="29"/>
  <c r="K69" i="29" s="1"/>
  <c r="E68" i="29"/>
  <c r="H63" i="29"/>
  <c r="I63" i="29" s="1"/>
  <c r="E60" i="29"/>
  <c r="K60" i="29" s="1"/>
  <c r="E59" i="29"/>
  <c r="K59" i="29" s="1"/>
  <c r="E58" i="29"/>
  <c r="K58" i="29" s="1"/>
  <c r="E57" i="29"/>
  <c r="H49" i="29"/>
  <c r="O49" i="29" s="1"/>
  <c r="G49" i="29"/>
  <c r="E49" i="29"/>
  <c r="K49" i="29" s="1"/>
  <c r="H48" i="29"/>
  <c r="G48" i="29"/>
  <c r="M48" i="29" s="1"/>
  <c r="E48" i="29"/>
  <c r="K48" i="29" s="1"/>
  <c r="H47" i="29"/>
  <c r="O47" i="29" s="1"/>
  <c r="G47" i="29"/>
  <c r="E47" i="29"/>
  <c r="K47" i="29" s="1"/>
  <c r="H46" i="29"/>
  <c r="G46" i="29"/>
  <c r="E46" i="29"/>
  <c r="H38" i="29"/>
  <c r="O38" i="29" s="1"/>
  <c r="S38" i="29" s="1"/>
  <c r="G38" i="29"/>
  <c r="E38" i="29"/>
  <c r="B38" i="29"/>
  <c r="H37" i="29"/>
  <c r="O37" i="29" s="1"/>
  <c r="S37" i="29" s="1"/>
  <c r="G37" i="29"/>
  <c r="E37" i="29"/>
  <c r="B37" i="29"/>
  <c r="H36" i="29"/>
  <c r="O36" i="29" s="1"/>
  <c r="S36" i="29" s="1"/>
  <c r="G36" i="29"/>
  <c r="E36" i="29"/>
  <c r="B36" i="29"/>
  <c r="H35" i="29"/>
  <c r="O35" i="29" s="1"/>
  <c r="S35" i="29" s="1"/>
  <c r="G35" i="29"/>
  <c r="E35" i="29"/>
  <c r="B35" i="29"/>
  <c r="H34" i="29"/>
  <c r="O34" i="29" s="1"/>
  <c r="S34" i="29" s="1"/>
  <c r="G34" i="29"/>
  <c r="E34" i="29"/>
  <c r="B34" i="29"/>
  <c r="H33" i="29"/>
  <c r="O33" i="29" s="1"/>
  <c r="S33" i="29" s="1"/>
  <c r="G33" i="29"/>
  <c r="M33" i="29" s="1"/>
  <c r="E33" i="29"/>
  <c r="B33" i="29"/>
  <c r="H32" i="29"/>
  <c r="O32" i="29" s="1"/>
  <c r="S32" i="29" s="1"/>
  <c r="G32" i="29"/>
  <c r="M32" i="29" s="1"/>
  <c r="E32" i="29"/>
  <c r="B32" i="29"/>
  <c r="H31" i="29"/>
  <c r="O31" i="29" s="1"/>
  <c r="S31" i="29" s="1"/>
  <c r="G31" i="29"/>
  <c r="E31" i="29"/>
  <c r="B31" i="29"/>
  <c r="H30" i="29"/>
  <c r="O30" i="29" s="1"/>
  <c r="S30" i="29" s="1"/>
  <c r="G30" i="29"/>
  <c r="M30" i="29" s="1"/>
  <c r="E30" i="29"/>
  <c r="B30" i="29"/>
  <c r="H29" i="29"/>
  <c r="O29" i="29" s="1"/>
  <c r="S29" i="29" s="1"/>
  <c r="G29" i="29"/>
  <c r="E29" i="29"/>
  <c r="B29" i="29"/>
  <c r="H28" i="29"/>
  <c r="O28" i="29" s="1"/>
  <c r="S28" i="29" s="1"/>
  <c r="G28" i="29"/>
  <c r="E28" i="29"/>
  <c r="K28" i="29" s="1"/>
  <c r="B28" i="29"/>
  <c r="H27" i="29"/>
  <c r="O27" i="29" s="1"/>
  <c r="S27" i="29" s="1"/>
  <c r="G27" i="29"/>
  <c r="E27" i="29"/>
  <c r="B27" i="29"/>
  <c r="H26" i="29"/>
  <c r="O26" i="29" s="1"/>
  <c r="S26" i="29" s="1"/>
  <c r="G26" i="29"/>
  <c r="E26" i="29"/>
  <c r="B26" i="29"/>
  <c r="T25" i="29"/>
  <c r="H25" i="29"/>
  <c r="O25" i="29" s="1"/>
  <c r="S25" i="29" s="1"/>
  <c r="G25" i="29"/>
  <c r="E25" i="29"/>
  <c r="B25" i="29"/>
  <c r="H24" i="29"/>
  <c r="O24" i="29" s="1"/>
  <c r="S24" i="29" s="1"/>
  <c r="G24" i="29"/>
  <c r="E24" i="29"/>
  <c r="B24" i="29"/>
  <c r="T23" i="29"/>
  <c r="H23" i="29"/>
  <c r="O23" i="29" s="1"/>
  <c r="S23" i="29" s="1"/>
  <c r="G23" i="29"/>
  <c r="E23" i="29"/>
  <c r="B23" i="29"/>
  <c r="T22" i="29"/>
  <c r="T41" i="29" s="1"/>
  <c r="I52" i="29" s="1"/>
  <c r="H22" i="29"/>
  <c r="G22" i="29"/>
  <c r="E22" i="29"/>
  <c r="B22" i="29"/>
  <c r="B40" i="29" s="1"/>
  <c r="H21" i="29"/>
  <c r="O21" i="29" s="1"/>
  <c r="G21" i="29"/>
  <c r="O20" i="29"/>
  <c r="M20" i="29"/>
  <c r="I20" i="29"/>
  <c r="L11" i="29"/>
  <c r="J11" i="29"/>
  <c r="I11" i="29"/>
  <c r="H11" i="29"/>
  <c r="G11" i="29"/>
  <c r="F11" i="29"/>
  <c r="E11" i="29"/>
  <c r="E20" i="29" s="1"/>
  <c r="E8" i="29"/>
  <c r="N7" i="29"/>
  <c r="G7" i="29"/>
  <c r="E7" i="29"/>
  <c r="G8" i="29" s="1"/>
  <c r="G6" i="29"/>
  <c r="E6" i="29"/>
  <c r="N5" i="29"/>
  <c r="G5" i="29"/>
  <c r="E5" i="29"/>
  <c r="E3" i="29"/>
  <c r="K73" i="28"/>
  <c r="E71" i="28"/>
  <c r="E70" i="28"/>
  <c r="E69" i="28"/>
  <c r="E68" i="28"/>
  <c r="E73" i="28" s="1"/>
  <c r="K74" i="28" s="1"/>
  <c r="H63" i="28"/>
  <c r="I63" i="28" s="1"/>
  <c r="K62" i="28"/>
  <c r="E60" i="28"/>
  <c r="E59" i="28"/>
  <c r="E58" i="28"/>
  <c r="E57" i="28"/>
  <c r="E62" i="28" s="1"/>
  <c r="N51" i="28"/>
  <c r="L51" i="28"/>
  <c r="K51" i="28"/>
  <c r="H49" i="28"/>
  <c r="G49" i="28"/>
  <c r="I49" i="28" s="1"/>
  <c r="E49" i="28"/>
  <c r="H48" i="28"/>
  <c r="G48" i="28"/>
  <c r="I48" i="28" s="1"/>
  <c r="E48" i="28"/>
  <c r="H47" i="28"/>
  <c r="G47" i="28"/>
  <c r="I47" i="28" s="1"/>
  <c r="E47" i="28"/>
  <c r="H46" i="28"/>
  <c r="T22" i="28" s="1"/>
  <c r="T41" i="28" s="1"/>
  <c r="I52" i="28" s="1"/>
  <c r="G46" i="28"/>
  <c r="E46" i="28"/>
  <c r="E51" i="28" s="1"/>
  <c r="K52" i="28" s="1"/>
  <c r="N40" i="28"/>
  <c r="L40" i="28"/>
  <c r="K40" i="28"/>
  <c r="G13" i="28" s="1"/>
  <c r="H38" i="28"/>
  <c r="G38" i="28"/>
  <c r="I38" i="28" s="1"/>
  <c r="E38" i="28"/>
  <c r="Q38" i="28" s="1"/>
  <c r="B38" i="28"/>
  <c r="H37" i="28"/>
  <c r="G37" i="28"/>
  <c r="I37" i="28" s="1"/>
  <c r="E37" i="28"/>
  <c r="Q37" i="28" s="1"/>
  <c r="B37" i="28"/>
  <c r="H36" i="28"/>
  <c r="G36" i="28"/>
  <c r="I36" i="28" s="1"/>
  <c r="E36" i="28"/>
  <c r="B36" i="28"/>
  <c r="H35" i="28"/>
  <c r="G35" i="28"/>
  <c r="I35" i="28" s="1"/>
  <c r="E35" i="28"/>
  <c r="B35" i="28"/>
  <c r="H34" i="28"/>
  <c r="G34" i="28"/>
  <c r="I34" i="28" s="1"/>
  <c r="E34" i="28"/>
  <c r="Q34" i="28" s="1"/>
  <c r="B34" i="28"/>
  <c r="H33" i="28"/>
  <c r="G33" i="28"/>
  <c r="I33" i="28" s="1"/>
  <c r="E33" i="28"/>
  <c r="B33" i="28"/>
  <c r="H32" i="28"/>
  <c r="G32" i="28"/>
  <c r="I32" i="28" s="1"/>
  <c r="E32" i="28"/>
  <c r="Q32" i="28" s="1"/>
  <c r="B32" i="28"/>
  <c r="H31" i="28"/>
  <c r="G31" i="28"/>
  <c r="I31" i="28" s="1"/>
  <c r="E31" i="28"/>
  <c r="Q31" i="28" s="1"/>
  <c r="B31" i="28"/>
  <c r="H30" i="28"/>
  <c r="G30" i="28"/>
  <c r="I30" i="28" s="1"/>
  <c r="E30" i="28"/>
  <c r="Q30" i="28" s="1"/>
  <c r="B30" i="28"/>
  <c r="H29" i="28"/>
  <c r="G29" i="28"/>
  <c r="I29" i="28" s="1"/>
  <c r="E29" i="28"/>
  <c r="Q29" i="28" s="1"/>
  <c r="B29" i="28"/>
  <c r="H28" i="28"/>
  <c r="G28" i="28"/>
  <c r="I28" i="28" s="1"/>
  <c r="E28" i="28"/>
  <c r="Q28" i="28" s="1"/>
  <c r="B28" i="28"/>
  <c r="H27" i="28"/>
  <c r="G27" i="28"/>
  <c r="I27" i="28" s="1"/>
  <c r="E27" i="28"/>
  <c r="Q27" i="28" s="1"/>
  <c r="B27" i="28"/>
  <c r="H26" i="28"/>
  <c r="G26" i="28"/>
  <c r="I26" i="28" s="1"/>
  <c r="E26" i="28"/>
  <c r="Q26" i="28" s="1"/>
  <c r="B26" i="28"/>
  <c r="T25" i="28"/>
  <c r="H25" i="28"/>
  <c r="G25" i="28"/>
  <c r="I25" i="28" s="1"/>
  <c r="E25" i="28"/>
  <c r="Q25" i="28" s="1"/>
  <c r="B25" i="28"/>
  <c r="T24" i="28"/>
  <c r="H24" i="28"/>
  <c r="G24" i="28"/>
  <c r="I24" i="28" s="1"/>
  <c r="E24" i="28"/>
  <c r="Q24" i="28" s="1"/>
  <c r="B24" i="28"/>
  <c r="T23" i="28"/>
  <c r="H23" i="28"/>
  <c r="G23" i="28"/>
  <c r="I23" i="28" s="1"/>
  <c r="E23" i="28"/>
  <c r="Q23" i="28" s="1"/>
  <c r="B23" i="28"/>
  <c r="H22" i="28"/>
  <c r="H40" i="28" s="1"/>
  <c r="N41" i="28" s="1"/>
  <c r="G22" i="28"/>
  <c r="I22" i="28" s="1"/>
  <c r="I40" i="28" s="1"/>
  <c r="E22" i="28"/>
  <c r="B22" i="28"/>
  <c r="B40" i="28" s="1"/>
  <c r="H21" i="28"/>
  <c r="G21" i="28"/>
  <c r="I20" i="28"/>
  <c r="L13" i="28"/>
  <c r="J13" i="28"/>
  <c r="H13" i="28"/>
  <c r="L12" i="28"/>
  <c r="H12" i="28"/>
  <c r="L11" i="28"/>
  <c r="J11" i="28"/>
  <c r="I11" i="28"/>
  <c r="H11" i="28"/>
  <c r="G11" i="28"/>
  <c r="F11" i="28"/>
  <c r="E21" i="28" s="1"/>
  <c r="F12" i="28" s="1"/>
  <c r="E11" i="28"/>
  <c r="E8" i="28"/>
  <c r="N7" i="28"/>
  <c r="G7" i="28"/>
  <c r="E7" i="28"/>
  <c r="G6" i="28"/>
  <c r="E6" i="28"/>
  <c r="N5" i="28"/>
  <c r="G5" i="28"/>
  <c r="E5" i="28"/>
  <c r="E71" i="27"/>
  <c r="K71" i="27" s="1"/>
  <c r="E70" i="27"/>
  <c r="K70" i="27" s="1"/>
  <c r="E69" i="27"/>
  <c r="K69" i="27" s="1"/>
  <c r="E68" i="27"/>
  <c r="H63" i="27"/>
  <c r="I63" i="27" s="1"/>
  <c r="E60" i="27"/>
  <c r="K60" i="27" s="1"/>
  <c r="E59" i="27"/>
  <c r="K59" i="27" s="1"/>
  <c r="E58" i="27"/>
  <c r="K58" i="27" s="1"/>
  <c r="E57" i="27"/>
  <c r="E62" i="27" s="1"/>
  <c r="H49" i="27"/>
  <c r="O49" i="27" s="1"/>
  <c r="G49" i="27"/>
  <c r="E49" i="27"/>
  <c r="K49" i="27" s="1"/>
  <c r="H48" i="27"/>
  <c r="G48" i="27"/>
  <c r="M48" i="27" s="1"/>
  <c r="E48" i="27"/>
  <c r="K48" i="27" s="1"/>
  <c r="H47" i="27"/>
  <c r="O47" i="27" s="1"/>
  <c r="G47" i="27"/>
  <c r="M47" i="27" s="1"/>
  <c r="E47" i="27"/>
  <c r="K47" i="27" s="1"/>
  <c r="H46" i="27"/>
  <c r="G46" i="27"/>
  <c r="E46" i="27"/>
  <c r="H38" i="27"/>
  <c r="O38" i="27" s="1"/>
  <c r="S38" i="27" s="1"/>
  <c r="G38" i="27"/>
  <c r="E38" i="27"/>
  <c r="B38" i="27"/>
  <c r="H37" i="27"/>
  <c r="O37" i="27" s="1"/>
  <c r="S37" i="27" s="1"/>
  <c r="G37" i="27"/>
  <c r="E37" i="27"/>
  <c r="K37" i="27" s="1"/>
  <c r="B37" i="27"/>
  <c r="H36" i="27"/>
  <c r="O36" i="27" s="1"/>
  <c r="S36" i="27" s="1"/>
  <c r="G36" i="27"/>
  <c r="E36" i="27"/>
  <c r="B36" i="27"/>
  <c r="H35" i="27"/>
  <c r="O35" i="27" s="1"/>
  <c r="S35" i="27" s="1"/>
  <c r="G35" i="27"/>
  <c r="E35" i="27"/>
  <c r="B35" i="27"/>
  <c r="H34" i="27"/>
  <c r="O34" i="27" s="1"/>
  <c r="S34" i="27" s="1"/>
  <c r="G34" i="27"/>
  <c r="E34" i="27"/>
  <c r="B34" i="27"/>
  <c r="H33" i="27"/>
  <c r="O33" i="27" s="1"/>
  <c r="S33" i="27" s="1"/>
  <c r="G33" i="27"/>
  <c r="M33" i="27" s="1"/>
  <c r="E33" i="27"/>
  <c r="B33" i="27"/>
  <c r="H32" i="27"/>
  <c r="O32" i="27" s="1"/>
  <c r="S32" i="27" s="1"/>
  <c r="G32" i="27"/>
  <c r="E32" i="27"/>
  <c r="B32" i="27"/>
  <c r="H31" i="27"/>
  <c r="O31" i="27" s="1"/>
  <c r="S31" i="27" s="1"/>
  <c r="G31" i="27"/>
  <c r="M31" i="27" s="1"/>
  <c r="E31" i="27"/>
  <c r="B31" i="27"/>
  <c r="H30" i="27"/>
  <c r="O30" i="27" s="1"/>
  <c r="S30" i="27" s="1"/>
  <c r="G30" i="27"/>
  <c r="E30" i="27"/>
  <c r="Q30" i="27" s="1"/>
  <c r="B30" i="27"/>
  <c r="H29" i="27"/>
  <c r="O29" i="27" s="1"/>
  <c r="S29" i="27" s="1"/>
  <c r="G29" i="27"/>
  <c r="E29" i="27"/>
  <c r="B29" i="27"/>
  <c r="H28" i="27"/>
  <c r="O28" i="27" s="1"/>
  <c r="S28" i="27" s="1"/>
  <c r="G28" i="27"/>
  <c r="E28" i="27"/>
  <c r="Q28" i="27" s="1"/>
  <c r="B28" i="27"/>
  <c r="H27" i="27"/>
  <c r="O27" i="27" s="1"/>
  <c r="S27" i="27" s="1"/>
  <c r="G27" i="27"/>
  <c r="E27" i="27"/>
  <c r="Q27" i="27" s="1"/>
  <c r="B27" i="27"/>
  <c r="H26" i="27"/>
  <c r="O26" i="27" s="1"/>
  <c r="S26" i="27" s="1"/>
  <c r="G26" i="27"/>
  <c r="M26" i="27" s="1"/>
  <c r="E26" i="27"/>
  <c r="B26" i="27"/>
  <c r="T25" i="27"/>
  <c r="H25" i="27"/>
  <c r="O25" i="27" s="1"/>
  <c r="S25" i="27" s="1"/>
  <c r="G25" i="27"/>
  <c r="M25" i="27" s="1"/>
  <c r="E25" i="27"/>
  <c r="B25" i="27"/>
  <c r="H24" i="27"/>
  <c r="O24" i="27" s="1"/>
  <c r="S24" i="27" s="1"/>
  <c r="G24" i="27"/>
  <c r="M24" i="27" s="1"/>
  <c r="E24" i="27"/>
  <c r="B24" i="27"/>
  <c r="T23" i="27"/>
  <c r="H23" i="27"/>
  <c r="O23" i="27" s="1"/>
  <c r="S23" i="27" s="1"/>
  <c r="G23" i="27"/>
  <c r="M23" i="27" s="1"/>
  <c r="E23" i="27"/>
  <c r="B23" i="27"/>
  <c r="T22" i="27"/>
  <c r="T41" i="27" s="1"/>
  <c r="I52" i="27" s="1"/>
  <c r="H22" i="27"/>
  <c r="G22" i="27"/>
  <c r="M22" i="27" s="1"/>
  <c r="L40" i="27" s="1"/>
  <c r="E22" i="27"/>
  <c r="B22" i="27"/>
  <c r="B40" i="27" s="1"/>
  <c r="H21" i="27"/>
  <c r="O21" i="27" s="1"/>
  <c r="G21" i="27"/>
  <c r="O20" i="27"/>
  <c r="M20" i="27"/>
  <c r="I20" i="27"/>
  <c r="L11" i="27"/>
  <c r="J11" i="27"/>
  <c r="I11" i="27"/>
  <c r="H11" i="27"/>
  <c r="G11" i="27"/>
  <c r="F11" i="27"/>
  <c r="E21" i="27" s="1"/>
  <c r="E11" i="27"/>
  <c r="E8" i="27"/>
  <c r="N7" i="27"/>
  <c r="G7" i="27"/>
  <c r="E7" i="27"/>
  <c r="G6" i="27"/>
  <c r="E6" i="27"/>
  <c r="N5" i="27"/>
  <c r="G5" i="27"/>
  <c r="E5" i="27"/>
  <c r="K73" i="26"/>
  <c r="E71" i="26"/>
  <c r="E70" i="26"/>
  <c r="E69" i="26"/>
  <c r="E68" i="26"/>
  <c r="E73" i="26" s="1"/>
  <c r="K74" i="26" s="1"/>
  <c r="H63" i="26"/>
  <c r="I63" i="26" s="1"/>
  <c r="K62" i="26"/>
  <c r="E60" i="26"/>
  <c r="E59" i="26"/>
  <c r="E58" i="26"/>
  <c r="E57" i="26"/>
  <c r="E62" i="26" s="1"/>
  <c r="K63" i="26" s="1"/>
  <c r="N51" i="26"/>
  <c r="L51" i="26"/>
  <c r="K51" i="26"/>
  <c r="H49" i="26"/>
  <c r="G49" i="26"/>
  <c r="I49" i="26" s="1"/>
  <c r="E49" i="26"/>
  <c r="H48" i="26"/>
  <c r="T24" i="26" s="1"/>
  <c r="G48" i="26"/>
  <c r="E48" i="26"/>
  <c r="H47" i="26"/>
  <c r="G47" i="26"/>
  <c r="I47" i="26" s="1"/>
  <c r="E47" i="26"/>
  <c r="H46" i="26"/>
  <c r="T22" i="26" s="1"/>
  <c r="T41" i="26" s="1"/>
  <c r="I52" i="26" s="1"/>
  <c r="G46" i="26"/>
  <c r="E46" i="26"/>
  <c r="E51" i="26" s="1"/>
  <c r="K52" i="26" s="1"/>
  <c r="N40" i="26"/>
  <c r="L40" i="26"/>
  <c r="K40" i="26"/>
  <c r="H38" i="26"/>
  <c r="G38" i="26"/>
  <c r="I38" i="26" s="1"/>
  <c r="E38" i="26"/>
  <c r="Q38" i="26" s="1"/>
  <c r="B38" i="26"/>
  <c r="H37" i="26"/>
  <c r="G37" i="26"/>
  <c r="I37" i="26" s="1"/>
  <c r="E37" i="26"/>
  <c r="Q37" i="26" s="1"/>
  <c r="B37" i="26"/>
  <c r="H36" i="26"/>
  <c r="G36" i="26"/>
  <c r="I36" i="26" s="1"/>
  <c r="E36" i="26"/>
  <c r="Q36" i="26" s="1"/>
  <c r="B36" i="26"/>
  <c r="H35" i="26"/>
  <c r="G35" i="26"/>
  <c r="I35" i="26" s="1"/>
  <c r="E35" i="26"/>
  <c r="Q35" i="26" s="1"/>
  <c r="B35" i="26"/>
  <c r="H34" i="26"/>
  <c r="G34" i="26"/>
  <c r="I34" i="26" s="1"/>
  <c r="E34" i="26"/>
  <c r="Q34" i="26" s="1"/>
  <c r="B34" i="26"/>
  <c r="H33" i="26"/>
  <c r="G33" i="26"/>
  <c r="I33" i="26" s="1"/>
  <c r="E33" i="26"/>
  <c r="Q33" i="26" s="1"/>
  <c r="B33" i="26"/>
  <c r="H32" i="26"/>
  <c r="G32" i="26"/>
  <c r="I32" i="26" s="1"/>
  <c r="E32" i="26"/>
  <c r="Q32" i="26" s="1"/>
  <c r="B32" i="26"/>
  <c r="H31" i="26"/>
  <c r="G31" i="26"/>
  <c r="I31" i="26" s="1"/>
  <c r="E31" i="26"/>
  <c r="B31" i="26"/>
  <c r="H30" i="26"/>
  <c r="G30" i="26"/>
  <c r="I30" i="26" s="1"/>
  <c r="E30" i="26"/>
  <c r="Q30" i="26" s="1"/>
  <c r="B30" i="26"/>
  <c r="H29" i="26"/>
  <c r="G29" i="26"/>
  <c r="I29" i="26" s="1"/>
  <c r="E29" i="26"/>
  <c r="Q29" i="26" s="1"/>
  <c r="B29" i="26"/>
  <c r="H28" i="26"/>
  <c r="G28" i="26"/>
  <c r="I28" i="26" s="1"/>
  <c r="E28" i="26"/>
  <c r="Q28" i="26" s="1"/>
  <c r="B28" i="26"/>
  <c r="H27" i="26"/>
  <c r="G27" i="26"/>
  <c r="I27" i="26" s="1"/>
  <c r="E27" i="26"/>
  <c r="Q27" i="26" s="1"/>
  <c r="B27" i="26"/>
  <c r="H26" i="26"/>
  <c r="G26" i="26"/>
  <c r="I26" i="26" s="1"/>
  <c r="E26" i="26"/>
  <c r="Q26" i="26" s="1"/>
  <c r="B26" i="26"/>
  <c r="T25" i="26"/>
  <c r="H25" i="26"/>
  <c r="G25" i="26"/>
  <c r="I25" i="26" s="1"/>
  <c r="E25" i="26"/>
  <c r="B25" i="26"/>
  <c r="H24" i="26"/>
  <c r="G24" i="26"/>
  <c r="I24" i="26" s="1"/>
  <c r="E24" i="26"/>
  <c r="B24" i="26"/>
  <c r="T23" i="26"/>
  <c r="H23" i="26"/>
  <c r="G23" i="26"/>
  <c r="I23" i="26" s="1"/>
  <c r="E23" i="26"/>
  <c r="Q23" i="26" s="1"/>
  <c r="B23" i="26"/>
  <c r="H22" i="26"/>
  <c r="H40" i="26" s="1"/>
  <c r="N41" i="26" s="1"/>
  <c r="G22" i="26"/>
  <c r="I22" i="26" s="1"/>
  <c r="I40" i="26" s="1"/>
  <c r="E22" i="26"/>
  <c r="B22" i="26"/>
  <c r="B40" i="26" s="1"/>
  <c r="H21" i="26"/>
  <c r="G21" i="26"/>
  <c r="I20" i="26"/>
  <c r="L13" i="26"/>
  <c r="J13" i="26"/>
  <c r="H13" i="26"/>
  <c r="G13" i="26"/>
  <c r="L12" i="26"/>
  <c r="L14" i="26" s="1"/>
  <c r="J12" i="26"/>
  <c r="J14" i="26" s="1"/>
  <c r="H12" i="26"/>
  <c r="H14" i="26" s="1"/>
  <c r="L11" i="26"/>
  <c r="J11" i="26"/>
  <c r="I11" i="26"/>
  <c r="H11" i="26"/>
  <c r="H15" i="26" s="1"/>
  <c r="G11" i="26"/>
  <c r="F11" i="26"/>
  <c r="E11" i="26"/>
  <c r="E8" i="26"/>
  <c r="G7" i="26"/>
  <c r="E7" i="26"/>
  <c r="G6" i="26"/>
  <c r="E6" i="26"/>
  <c r="N5" i="26"/>
  <c r="G5" i="26"/>
  <c r="E5" i="26"/>
  <c r="K73" i="25"/>
  <c r="E71" i="25"/>
  <c r="E70" i="25"/>
  <c r="E69" i="25"/>
  <c r="E68" i="25"/>
  <c r="E73" i="25" s="1"/>
  <c r="H63" i="25"/>
  <c r="I63" i="25" s="1"/>
  <c r="K62" i="25"/>
  <c r="E60" i="25"/>
  <c r="E59" i="25"/>
  <c r="E58" i="25"/>
  <c r="E57" i="25"/>
  <c r="E62" i="25" s="1"/>
  <c r="K63" i="25" s="1"/>
  <c r="N51" i="25"/>
  <c r="L51" i="25"/>
  <c r="K51" i="25"/>
  <c r="H49" i="25"/>
  <c r="G49" i="25"/>
  <c r="E49" i="25"/>
  <c r="H48" i="25"/>
  <c r="G48" i="25"/>
  <c r="I48" i="25" s="1"/>
  <c r="E48" i="25"/>
  <c r="H47" i="25"/>
  <c r="G47" i="25"/>
  <c r="E47" i="25"/>
  <c r="H46" i="25"/>
  <c r="G46" i="25"/>
  <c r="G51" i="25" s="1"/>
  <c r="L52" i="25" s="1"/>
  <c r="E46" i="25"/>
  <c r="E51" i="25" s="1"/>
  <c r="K52" i="25" s="1"/>
  <c r="N40" i="25"/>
  <c r="L40" i="25"/>
  <c r="K40" i="25"/>
  <c r="H38" i="25"/>
  <c r="G38" i="25"/>
  <c r="I38" i="25" s="1"/>
  <c r="E38" i="25"/>
  <c r="Q38" i="25" s="1"/>
  <c r="B38" i="25"/>
  <c r="H37" i="25"/>
  <c r="G37" i="25"/>
  <c r="I37" i="25" s="1"/>
  <c r="E37" i="25"/>
  <c r="Q37" i="25" s="1"/>
  <c r="B37" i="25"/>
  <c r="H36" i="25"/>
  <c r="G36" i="25"/>
  <c r="I36" i="25" s="1"/>
  <c r="E36" i="25"/>
  <c r="Q36" i="25" s="1"/>
  <c r="B36" i="25"/>
  <c r="H35" i="25"/>
  <c r="G35" i="25"/>
  <c r="I35" i="25" s="1"/>
  <c r="E35" i="25"/>
  <c r="Q35" i="25" s="1"/>
  <c r="B35" i="25"/>
  <c r="H34" i="25"/>
  <c r="G34" i="25"/>
  <c r="I34" i="25" s="1"/>
  <c r="E34" i="25"/>
  <c r="Q34" i="25" s="1"/>
  <c r="B34" i="25"/>
  <c r="H33" i="25"/>
  <c r="G33" i="25"/>
  <c r="I33" i="25" s="1"/>
  <c r="E33" i="25"/>
  <c r="Q33" i="25" s="1"/>
  <c r="B33" i="25"/>
  <c r="H32" i="25"/>
  <c r="G32" i="25"/>
  <c r="I32" i="25" s="1"/>
  <c r="E32" i="25"/>
  <c r="Q32" i="25" s="1"/>
  <c r="B32" i="25"/>
  <c r="H31" i="25"/>
  <c r="G31" i="25"/>
  <c r="I31" i="25" s="1"/>
  <c r="E31" i="25"/>
  <c r="Q31" i="25" s="1"/>
  <c r="B31" i="25"/>
  <c r="H30" i="25"/>
  <c r="G30" i="25"/>
  <c r="I30" i="25" s="1"/>
  <c r="E30" i="25"/>
  <c r="Q30" i="25" s="1"/>
  <c r="B30" i="25"/>
  <c r="H29" i="25"/>
  <c r="G29" i="25"/>
  <c r="I29" i="25" s="1"/>
  <c r="E29" i="25"/>
  <c r="Q29" i="25" s="1"/>
  <c r="B29" i="25"/>
  <c r="H28" i="25"/>
  <c r="G28" i="25"/>
  <c r="I28" i="25" s="1"/>
  <c r="E28" i="25"/>
  <c r="Q28" i="25" s="1"/>
  <c r="B28" i="25"/>
  <c r="H27" i="25"/>
  <c r="G27" i="25"/>
  <c r="I27" i="25" s="1"/>
  <c r="E27" i="25"/>
  <c r="B27" i="25"/>
  <c r="H26" i="25"/>
  <c r="G26" i="25"/>
  <c r="I26" i="25" s="1"/>
  <c r="E26" i="25"/>
  <c r="Q26" i="25" s="1"/>
  <c r="B26" i="25"/>
  <c r="T25" i="25"/>
  <c r="H25" i="25"/>
  <c r="G25" i="25"/>
  <c r="I25" i="25" s="1"/>
  <c r="E25" i="25"/>
  <c r="Q25" i="25" s="1"/>
  <c r="B25" i="25"/>
  <c r="T24" i="25"/>
  <c r="H24" i="25"/>
  <c r="G24" i="25"/>
  <c r="I24" i="25" s="1"/>
  <c r="E24" i="25"/>
  <c r="Q24" i="25" s="1"/>
  <c r="B24" i="25"/>
  <c r="H23" i="25"/>
  <c r="G23" i="25"/>
  <c r="I23" i="25" s="1"/>
  <c r="E23" i="25"/>
  <c r="Q23" i="25" s="1"/>
  <c r="B23" i="25"/>
  <c r="H22" i="25"/>
  <c r="H40" i="25" s="1"/>
  <c r="N41" i="25" s="1"/>
  <c r="G22" i="25"/>
  <c r="I22" i="25" s="1"/>
  <c r="I40" i="25" s="1"/>
  <c r="E22" i="25"/>
  <c r="B22" i="25"/>
  <c r="B40" i="25" s="1"/>
  <c r="H21" i="25"/>
  <c r="G21" i="25"/>
  <c r="I20" i="25"/>
  <c r="L13" i="25"/>
  <c r="J13" i="25"/>
  <c r="H13" i="25"/>
  <c r="G13" i="25"/>
  <c r="J12" i="25"/>
  <c r="H12" i="25"/>
  <c r="H14" i="25" s="1"/>
  <c r="L11" i="25"/>
  <c r="J11" i="25"/>
  <c r="E63" i="25" s="1"/>
  <c r="I11" i="25"/>
  <c r="H11" i="25"/>
  <c r="G11" i="25"/>
  <c r="F11" i="25"/>
  <c r="E21" i="25" s="1"/>
  <c r="F12" i="25" s="1"/>
  <c r="E11" i="25"/>
  <c r="N11" i="25" s="1"/>
  <c r="E8" i="25"/>
  <c r="N7" i="25"/>
  <c r="G7" i="25"/>
  <c r="E7" i="25"/>
  <c r="G6" i="25"/>
  <c r="E6" i="25"/>
  <c r="N5" i="25"/>
  <c r="G5" i="25"/>
  <c r="E5" i="25"/>
  <c r="K73" i="24"/>
  <c r="E71" i="24"/>
  <c r="E70" i="24"/>
  <c r="E69" i="24"/>
  <c r="E68" i="24"/>
  <c r="E73" i="24" s="1"/>
  <c r="L12" i="24" s="1"/>
  <c r="H63" i="24"/>
  <c r="I63" i="24" s="1"/>
  <c r="K62" i="24"/>
  <c r="E60" i="24"/>
  <c r="E59" i="24"/>
  <c r="E58" i="24"/>
  <c r="E57" i="24"/>
  <c r="E62" i="24" s="1"/>
  <c r="N51" i="24"/>
  <c r="L51" i="24"/>
  <c r="K51" i="24"/>
  <c r="H49" i="24"/>
  <c r="G49" i="24"/>
  <c r="I49" i="24" s="1"/>
  <c r="E49" i="24"/>
  <c r="H48" i="24"/>
  <c r="G48" i="24"/>
  <c r="E48" i="24"/>
  <c r="H47" i="24"/>
  <c r="G47" i="24"/>
  <c r="I47" i="24" s="1"/>
  <c r="E47" i="24"/>
  <c r="H46" i="24"/>
  <c r="H51" i="24" s="1"/>
  <c r="N52" i="24" s="1"/>
  <c r="G46" i="24"/>
  <c r="E46" i="24"/>
  <c r="E51" i="24" s="1"/>
  <c r="N40" i="24"/>
  <c r="L40" i="24"/>
  <c r="K40" i="24"/>
  <c r="H38" i="24"/>
  <c r="G38" i="24"/>
  <c r="I38" i="24" s="1"/>
  <c r="E38" i="24"/>
  <c r="Q38" i="24" s="1"/>
  <c r="B38" i="24"/>
  <c r="H37" i="24"/>
  <c r="G37" i="24"/>
  <c r="I37" i="24" s="1"/>
  <c r="E37" i="24"/>
  <c r="B37" i="24"/>
  <c r="H36" i="24"/>
  <c r="G36" i="24"/>
  <c r="I36" i="24" s="1"/>
  <c r="E36" i="24"/>
  <c r="B36" i="24"/>
  <c r="H35" i="24"/>
  <c r="G35" i="24"/>
  <c r="I35" i="24" s="1"/>
  <c r="E35" i="24"/>
  <c r="Q35" i="24" s="1"/>
  <c r="B35" i="24"/>
  <c r="H34" i="24"/>
  <c r="G34" i="24"/>
  <c r="I34" i="24" s="1"/>
  <c r="E34" i="24"/>
  <c r="B34" i="24"/>
  <c r="H33" i="24"/>
  <c r="G33" i="24"/>
  <c r="I33" i="24" s="1"/>
  <c r="E33" i="24"/>
  <c r="B33" i="24"/>
  <c r="H32" i="24"/>
  <c r="G32" i="24"/>
  <c r="I32" i="24" s="1"/>
  <c r="E32" i="24"/>
  <c r="Q32" i="24" s="1"/>
  <c r="B32" i="24"/>
  <c r="H31" i="24"/>
  <c r="G31" i="24"/>
  <c r="I31" i="24" s="1"/>
  <c r="E31" i="24"/>
  <c r="Q31" i="24" s="1"/>
  <c r="B31" i="24"/>
  <c r="H30" i="24"/>
  <c r="G30" i="24"/>
  <c r="I30" i="24" s="1"/>
  <c r="E30" i="24"/>
  <c r="B30" i="24"/>
  <c r="H29" i="24"/>
  <c r="G29" i="24"/>
  <c r="I29" i="24" s="1"/>
  <c r="E29" i="24"/>
  <c r="Q29" i="24" s="1"/>
  <c r="B29" i="24"/>
  <c r="H28" i="24"/>
  <c r="G28" i="24"/>
  <c r="I28" i="24" s="1"/>
  <c r="E28" i="24"/>
  <c r="B28" i="24"/>
  <c r="H27" i="24"/>
  <c r="G27" i="24"/>
  <c r="I27" i="24" s="1"/>
  <c r="E27" i="24"/>
  <c r="B27" i="24"/>
  <c r="H26" i="24"/>
  <c r="G26" i="24"/>
  <c r="I26" i="24" s="1"/>
  <c r="E26" i="24"/>
  <c r="Q26" i="24" s="1"/>
  <c r="B26" i="24"/>
  <c r="T25" i="24"/>
  <c r="H25" i="24"/>
  <c r="G25" i="24"/>
  <c r="I25" i="24" s="1"/>
  <c r="E25" i="24"/>
  <c r="Q25" i="24" s="1"/>
  <c r="B25" i="24"/>
  <c r="H24" i="24"/>
  <c r="G24" i="24"/>
  <c r="I24" i="24" s="1"/>
  <c r="E24" i="24"/>
  <c r="Q24" i="24" s="1"/>
  <c r="B24" i="24"/>
  <c r="T23" i="24"/>
  <c r="H23" i="24"/>
  <c r="G23" i="24"/>
  <c r="I23" i="24" s="1"/>
  <c r="E23" i="24"/>
  <c r="Q23" i="24" s="1"/>
  <c r="B23" i="24"/>
  <c r="T22" i="24"/>
  <c r="T41" i="24" s="1"/>
  <c r="I52" i="24" s="1"/>
  <c r="H22" i="24"/>
  <c r="H40" i="24" s="1"/>
  <c r="N41" i="24" s="1"/>
  <c r="G22" i="24"/>
  <c r="I22" i="24" s="1"/>
  <c r="I40" i="24" s="1"/>
  <c r="E22" i="24"/>
  <c r="B22" i="24"/>
  <c r="B40" i="24" s="1"/>
  <c r="H21" i="24"/>
  <c r="G21" i="24"/>
  <c r="I21" i="24" s="1"/>
  <c r="I20" i="24"/>
  <c r="L13" i="24"/>
  <c r="J13" i="24"/>
  <c r="H13" i="24"/>
  <c r="G13" i="24"/>
  <c r="L11" i="24"/>
  <c r="L15" i="24" s="1"/>
  <c r="J11" i="24"/>
  <c r="I11" i="24"/>
  <c r="H11" i="24"/>
  <c r="E52" i="24" s="1"/>
  <c r="G11" i="24"/>
  <c r="F11" i="24"/>
  <c r="E21" i="24" s="1"/>
  <c r="F12" i="24" s="1"/>
  <c r="E11" i="24"/>
  <c r="E8" i="24"/>
  <c r="N7" i="24"/>
  <c r="G7" i="24"/>
  <c r="E7" i="24"/>
  <c r="G6" i="24"/>
  <c r="E6" i="24"/>
  <c r="N5" i="24"/>
  <c r="G5" i="24"/>
  <c r="E5" i="24"/>
  <c r="K73" i="23"/>
  <c r="E71" i="23"/>
  <c r="E70" i="23"/>
  <c r="E69" i="23"/>
  <c r="E68" i="23"/>
  <c r="E73" i="23" s="1"/>
  <c r="H63" i="23"/>
  <c r="I63" i="23" s="1"/>
  <c r="K62" i="23"/>
  <c r="E60" i="23"/>
  <c r="E59" i="23"/>
  <c r="E58" i="23"/>
  <c r="E57" i="23"/>
  <c r="E62" i="23" s="1"/>
  <c r="N51" i="23"/>
  <c r="L51" i="23"/>
  <c r="K51" i="23"/>
  <c r="H13" i="23" s="1"/>
  <c r="H49" i="23"/>
  <c r="G49" i="23"/>
  <c r="I49" i="23" s="1"/>
  <c r="E49" i="23"/>
  <c r="H48" i="23"/>
  <c r="G48" i="23"/>
  <c r="E48" i="23"/>
  <c r="H47" i="23"/>
  <c r="T23" i="23" s="1"/>
  <c r="G47" i="23"/>
  <c r="E47" i="23"/>
  <c r="H46" i="23"/>
  <c r="T22" i="23" s="1"/>
  <c r="T41" i="23" s="1"/>
  <c r="I52" i="23" s="1"/>
  <c r="G46" i="23"/>
  <c r="E46" i="23"/>
  <c r="E51" i="23" s="1"/>
  <c r="K52" i="23" s="1"/>
  <c r="N40" i="23"/>
  <c r="L40" i="23"/>
  <c r="K40" i="23"/>
  <c r="S38" i="23"/>
  <c r="H38" i="23"/>
  <c r="G38" i="23"/>
  <c r="I38" i="23" s="1"/>
  <c r="E38" i="23"/>
  <c r="Q38" i="23" s="1"/>
  <c r="B38" i="23"/>
  <c r="C38" i="23" s="1"/>
  <c r="S37" i="23"/>
  <c r="H37" i="23"/>
  <c r="G37" i="23"/>
  <c r="I37" i="23" s="1"/>
  <c r="E37" i="23"/>
  <c r="Q37" i="23" s="1"/>
  <c r="B37" i="23"/>
  <c r="C37" i="23" s="1"/>
  <c r="S36" i="23"/>
  <c r="H36" i="23"/>
  <c r="G36" i="23"/>
  <c r="I36" i="23" s="1"/>
  <c r="E36" i="23"/>
  <c r="Q36" i="23" s="1"/>
  <c r="B36" i="23"/>
  <c r="C36" i="23" s="1"/>
  <c r="S35" i="23"/>
  <c r="H35" i="23"/>
  <c r="G35" i="23"/>
  <c r="I35" i="23" s="1"/>
  <c r="E35" i="23"/>
  <c r="Q35" i="23" s="1"/>
  <c r="B35" i="23"/>
  <c r="C35" i="23" s="1"/>
  <c r="S34" i="23"/>
  <c r="H34" i="23"/>
  <c r="G34" i="23"/>
  <c r="I34" i="23" s="1"/>
  <c r="E34" i="23"/>
  <c r="Q34" i="23" s="1"/>
  <c r="B34" i="23"/>
  <c r="C34" i="23" s="1"/>
  <c r="S33" i="23"/>
  <c r="H33" i="23"/>
  <c r="G33" i="23"/>
  <c r="I33" i="23" s="1"/>
  <c r="E33" i="23"/>
  <c r="Q33" i="23" s="1"/>
  <c r="B33" i="23"/>
  <c r="C33" i="23" s="1"/>
  <c r="S32" i="23"/>
  <c r="H32" i="23"/>
  <c r="G32" i="23"/>
  <c r="I32" i="23" s="1"/>
  <c r="E32" i="23"/>
  <c r="Q32" i="23" s="1"/>
  <c r="B32" i="23"/>
  <c r="C32" i="23" s="1"/>
  <c r="S31" i="23"/>
  <c r="H31" i="23"/>
  <c r="G31" i="23"/>
  <c r="I31" i="23" s="1"/>
  <c r="E31" i="23"/>
  <c r="Q31" i="23" s="1"/>
  <c r="B31" i="23"/>
  <c r="C31" i="23" s="1"/>
  <c r="S30" i="23"/>
  <c r="H30" i="23"/>
  <c r="G30" i="23"/>
  <c r="I30" i="23" s="1"/>
  <c r="E30" i="23"/>
  <c r="Q30" i="23" s="1"/>
  <c r="B30" i="23"/>
  <c r="C30" i="23" s="1"/>
  <c r="S29" i="23"/>
  <c r="H29" i="23"/>
  <c r="G29" i="23"/>
  <c r="I29" i="23" s="1"/>
  <c r="E29" i="23"/>
  <c r="Q29" i="23" s="1"/>
  <c r="B29" i="23"/>
  <c r="C29" i="23" s="1"/>
  <c r="S28" i="23"/>
  <c r="H28" i="23"/>
  <c r="G28" i="23"/>
  <c r="I28" i="23" s="1"/>
  <c r="E28" i="23"/>
  <c r="Q28" i="23" s="1"/>
  <c r="B28" i="23"/>
  <c r="C28" i="23" s="1"/>
  <c r="S27" i="23"/>
  <c r="H27" i="23"/>
  <c r="G27" i="23"/>
  <c r="I27" i="23" s="1"/>
  <c r="E27" i="23"/>
  <c r="Q27" i="23" s="1"/>
  <c r="B27" i="23"/>
  <c r="C27" i="23" s="1"/>
  <c r="S26" i="23"/>
  <c r="H26" i="23"/>
  <c r="G26" i="23"/>
  <c r="I26" i="23" s="1"/>
  <c r="E26" i="23"/>
  <c r="Q26" i="23" s="1"/>
  <c r="B26" i="23"/>
  <c r="C26" i="23" s="1"/>
  <c r="T25" i="23"/>
  <c r="S25" i="23"/>
  <c r="H25" i="23"/>
  <c r="G25" i="23"/>
  <c r="I25" i="23" s="1"/>
  <c r="E25" i="23"/>
  <c r="Q25" i="23" s="1"/>
  <c r="B25" i="23"/>
  <c r="C25" i="23" s="1"/>
  <c r="S24" i="23"/>
  <c r="H24" i="23"/>
  <c r="G24" i="23"/>
  <c r="I24" i="23" s="1"/>
  <c r="E24" i="23"/>
  <c r="Q24" i="23" s="1"/>
  <c r="B24" i="23"/>
  <c r="C24" i="23" s="1"/>
  <c r="S23" i="23"/>
  <c r="H23" i="23"/>
  <c r="H40" i="23" s="1"/>
  <c r="N41" i="23" s="1"/>
  <c r="G23" i="23"/>
  <c r="I23" i="23" s="1"/>
  <c r="E23" i="23"/>
  <c r="Q23" i="23" s="1"/>
  <c r="B23" i="23"/>
  <c r="C23" i="23" s="1"/>
  <c r="S22" i="23"/>
  <c r="G22" i="23"/>
  <c r="I22" i="23" s="1"/>
  <c r="I40" i="23" s="1"/>
  <c r="E22" i="23"/>
  <c r="E40" i="23" s="1"/>
  <c r="K41" i="23" s="1"/>
  <c r="B22" i="23"/>
  <c r="B40" i="23" s="1"/>
  <c r="H21" i="23"/>
  <c r="G21" i="23"/>
  <c r="I20" i="23"/>
  <c r="L13" i="23"/>
  <c r="J13" i="23"/>
  <c r="I13" i="23"/>
  <c r="G13" i="23"/>
  <c r="H12" i="23"/>
  <c r="H14" i="23" s="1"/>
  <c r="G12" i="23"/>
  <c r="G14" i="23" s="1"/>
  <c r="L11" i="23"/>
  <c r="J11" i="23"/>
  <c r="H11" i="23"/>
  <c r="H15" i="23" s="1"/>
  <c r="G11" i="23"/>
  <c r="F11" i="23"/>
  <c r="E21" i="23" s="1"/>
  <c r="F12" i="23" s="1"/>
  <c r="E11" i="23"/>
  <c r="E8" i="23"/>
  <c r="E7" i="23"/>
  <c r="G8" i="23" s="1"/>
  <c r="G6" i="23"/>
  <c r="E6" i="23"/>
  <c r="N5" i="23"/>
  <c r="G5" i="23"/>
  <c r="E5" i="23"/>
  <c r="E3" i="23"/>
  <c r="K73" i="22"/>
  <c r="E71" i="22"/>
  <c r="E70" i="22"/>
  <c r="E69" i="22"/>
  <c r="E68" i="22"/>
  <c r="E73" i="22" s="1"/>
  <c r="K74" i="22" s="1"/>
  <c r="H63" i="22"/>
  <c r="I63" i="22" s="1"/>
  <c r="K62" i="22"/>
  <c r="E60" i="22"/>
  <c r="E59" i="22"/>
  <c r="E58" i="22"/>
  <c r="E57" i="22"/>
  <c r="E62" i="22" s="1"/>
  <c r="N51" i="22"/>
  <c r="L51" i="22"/>
  <c r="K51" i="22"/>
  <c r="H49" i="22"/>
  <c r="G49" i="22"/>
  <c r="I49" i="22" s="1"/>
  <c r="E49" i="22"/>
  <c r="H48" i="22"/>
  <c r="G48" i="22"/>
  <c r="I48" i="22" s="1"/>
  <c r="E48" i="22"/>
  <c r="H47" i="22"/>
  <c r="T23" i="22" s="1"/>
  <c r="G47" i="22"/>
  <c r="I47" i="22" s="1"/>
  <c r="E47" i="22"/>
  <c r="H46" i="22"/>
  <c r="H51" i="22" s="1"/>
  <c r="N52" i="22" s="1"/>
  <c r="G46" i="22"/>
  <c r="E46" i="22"/>
  <c r="E51" i="22" s="1"/>
  <c r="K52" i="22" s="1"/>
  <c r="N40" i="22"/>
  <c r="L40" i="22"/>
  <c r="K40" i="22"/>
  <c r="S38" i="22"/>
  <c r="H38" i="22"/>
  <c r="G38" i="22"/>
  <c r="I38" i="22" s="1"/>
  <c r="E38" i="22"/>
  <c r="Q38" i="22" s="1"/>
  <c r="B38" i="22"/>
  <c r="C38" i="22" s="1"/>
  <c r="S37" i="22"/>
  <c r="H37" i="22"/>
  <c r="G37" i="22"/>
  <c r="I37" i="22" s="1"/>
  <c r="E37" i="22"/>
  <c r="Q37" i="22" s="1"/>
  <c r="B37" i="22"/>
  <c r="C37" i="22" s="1"/>
  <c r="S36" i="22"/>
  <c r="H36" i="22"/>
  <c r="G36" i="22"/>
  <c r="I36" i="22" s="1"/>
  <c r="E36" i="22"/>
  <c r="Q36" i="22" s="1"/>
  <c r="B36" i="22"/>
  <c r="C36" i="22" s="1"/>
  <c r="S35" i="22"/>
  <c r="H35" i="22"/>
  <c r="G35" i="22"/>
  <c r="I35" i="22" s="1"/>
  <c r="E35" i="22"/>
  <c r="Q35" i="22" s="1"/>
  <c r="B35" i="22"/>
  <c r="C35" i="22" s="1"/>
  <c r="S34" i="22"/>
  <c r="H34" i="22"/>
  <c r="G34" i="22"/>
  <c r="I34" i="22" s="1"/>
  <c r="E34" i="22"/>
  <c r="Q34" i="22" s="1"/>
  <c r="B34" i="22"/>
  <c r="C34" i="22" s="1"/>
  <c r="S33" i="22"/>
  <c r="H33" i="22"/>
  <c r="G33" i="22"/>
  <c r="I33" i="22" s="1"/>
  <c r="E33" i="22"/>
  <c r="Q33" i="22" s="1"/>
  <c r="B33" i="22"/>
  <c r="C33" i="22" s="1"/>
  <c r="S32" i="22"/>
  <c r="H32" i="22"/>
  <c r="G32" i="22"/>
  <c r="I32" i="22" s="1"/>
  <c r="E32" i="22"/>
  <c r="Q32" i="22" s="1"/>
  <c r="B32" i="22"/>
  <c r="C32" i="22" s="1"/>
  <c r="S31" i="22"/>
  <c r="H31" i="22"/>
  <c r="G31" i="22"/>
  <c r="I31" i="22" s="1"/>
  <c r="E31" i="22"/>
  <c r="Q31" i="22" s="1"/>
  <c r="B31" i="22"/>
  <c r="C31" i="22" s="1"/>
  <c r="S30" i="22"/>
  <c r="H30" i="22"/>
  <c r="G30" i="22"/>
  <c r="I30" i="22" s="1"/>
  <c r="E30" i="22"/>
  <c r="Q30" i="22" s="1"/>
  <c r="B30" i="22"/>
  <c r="C30" i="22" s="1"/>
  <c r="S29" i="22"/>
  <c r="H29" i="22"/>
  <c r="G29" i="22"/>
  <c r="I29" i="22" s="1"/>
  <c r="E29" i="22"/>
  <c r="Q29" i="22" s="1"/>
  <c r="B29" i="22"/>
  <c r="C29" i="22" s="1"/>
  <c r="S28" i="22"/>
  <c r="H28" i="22"/>
  <c r="G28" i="22"/>
  <c r="I28" i="22" s="1"/>
  <c r="E28" i="22"/>
  <c r="Q28" i="22" s="1"/>
  <c r="B28" i="22"/>
  <c r="C28" i="22" s="1"/>
  <c r="S27" i="22"/>
  <c r="H27" i="22"/>
  <c r="G27" i="22"/>
  <c r="I27" i="22" s="1"/>
  <c r="E27" i="22"/>
  <c r="Q27" i="22" s="1"/>
  <c r="B27" i="22"/>
  <c r="C27" i="22" s="1"/>
  <c r="S26" i="22"/>
  <c r="H26" i="22"/>
  <c r="G26" i="22"/>
  <c r="I26" i="22" s="1"/>
  <c r="E26" i="22"/>
  <c r="Q26" i="22" s="1"/>
  <c r="B26" i="22"/>
  <c r="C26" i="22" s="1"/>
  <c r="T25" i="22"/>
  <c r="S25" i="22"/>
  <c r="H25" i="22"/>
  <c r="G25" i="22"/>
  <c r="I25" i="22" s="1"/>
  <c r="E25" i="22"/>
  <c r="Q25" i="22" s="1"/>
  <c r="B25" i="22"/>
  <c r="C25" i="22" s="1"/>
  <c r="T24" i="22"/>
  <c r="S24" i="22"/>
  <c r="H24" i="22"/>
  <c r="G24" i="22"/>
  <c r="I24" i="22" s="1"/>
  <c r="E24" i="22"/>
  <c r="Q24" i="22" s="1"/>
  <c r="B24" i="22"/>
  <c r="C24" i="22" s="1"/>
  <c r="S23" i="22"/>
  <c r="H23" i="22"/>
  <c r="G23" i="22"/>
  <c r="I23" i="22" s="1"/>
  <c r="E23" i="22"/>
  <c r="Q23" i="22" s="1"/>
  <c r="B23" i="22"/>
  <c r="C23" i="22" s="1"/>
  <c r="T22" i="22"/>
  <c r="T41" i="22" s="1"/>
  <c r="I52" i="22" s="1"/>
  <c r="S22" i="22"/>
  <c r="S41" i="22" s="1"/>
  <c r="H22" i="22"/>
  <c r="H40" i="22" s="1"/>
  <c r="N41" i="22" s="1"/>
  <c r="G22" i="22"/>
  <c r="I22" i="22" s="1"/>
  <c r="I40" i="22" s="1"/>
  <c r="E22" i="22"/>
  <c r="Q22" i="22" s="1"/>
  <c r="Q39" i="22" s="1"/>
  <c r="B22" i="22"/>
  <c r="B40" i="22" s="1"/>
  <c r="H21" i="22"/>
  <c r="G21" i="22"/>
  <c r="I20" i="22"/>
  <c r="L13" i="22"/>
  <c r="J13" i="22"/>
  <c r="I13" i="22"/>
  <c r="H13" i="22"/>
  <c r="G13" i="22"/>
  <c r="L12" i="22"/>
  <c r="L11" i="22"/>
  <c r="L15" i="22" s="1"/>
  <c r="J11" i="22"/>
  <c r="I11" i="22"/>
  <c r="H11" i="22"/>
  <c r="E52" i="22" s="1"/>
  <c r="G11" i="22"/>
  <c r="F11" i="22"/>
  <c r="E21" i="22" s="1"/>
  <c r="F12" i="22" s="1"/>
  <c r="F13" i="22" s="1"/>
  <c r="E11" i="22"/>
  <c r="E8" i="22"/>
  <c r="E7" i="22"/>
  <c r="G8" i="22" s="1"/>
  <c r="G6" i="22"/>
  <c r="E6" i="22"/>
  <c r="N5" i="22"/>
  <c r="G5" i="22"/>
  <c r="E5" i="22"/>
  <c r="E3" i="22"/>
  <c r="K73" i="21"/>
  <c r="E71" i="21"/>
  <c r="E70" i="21"/>
  <c r="E69" i="21"/>
  <c r="E68" i="21"/>
  <c r="E73" i="21" s="1"/>
  <c r="K74" i="21" s="1"/>
  <c r="H63" i="21"/>
  <c r="I63" i="21" s="1"/>
  <c r="K62" i="21"/>
  <c r="E60" i="21"/>
  <c r="E59" i="21"/>
  <c r="E58" i="21"/>
  <c r="E57" i="21"/>
  <c r="E62" i="21" s="1"/>
  <c r="K63" i="21" s="1"/>
  <c r="N51" i="21"/>
  <c r="L51" i="21"/>
  <c r="K51" i="21"/>
  <c r="H13" i="21" s="1"/>
  <c r="H49" i="21"/>
  <c r="G49" i="21"/>
  <c r="I49" i="21" s="1"/>
  <c r="E49" i="21"/>
  <c r="H48" i="21"/>
  <c r="G48" i="21"/>
  <c r="I48" i="21" s="1"/>
  <c r="E48" i="21"/>
  <c r="H47" i="21"/>
  <c r="T23" i="21" s="1"/>
  <c r="G47" i="21"/>
  <c r="I47" i="21" s="1"/>
  <c r="E47" i="21"/>
  <c r="H46" i="21"/>
  <c r="H51" i="21" s="1"/>
  <c r="N52" i="21" s="1"/>
  <c r="G46" i="21"/>
  <c r="E46" i="21"/>
  <c r="E51" i="21" s="1"/>
  <c r="K52" i="21" s="1"/>
  <c r="N40" i="21"/>
  <c r="L40" i="21"/>
  <c r="K40" i="21"/>
  <c r="S38" i="21"/>
  <c r="H38" i="21"/>
  <c r="G38" i="21"/>
  <c r="I38" i="21" s="1"/>
  <c r="E38" i="21"/>
  <c r="Q38" i="21" s="1"/>
  <c r="B38" i="21"/>
  <c r="C38" i="21" s="1"/>
  <c r="S37" i="21"/>
  <c r="H37" i="21"/>
  <c r="G37" i="21"/>
  <c r="I37" i="21" s="1"/>
  <c r="E37" i="21"/>
  <c r="Q37" i="21" s="1"/>
  <c r="B37" i="21"/>
  <c r="C37" i="21" s="1"/>
  <c r="S36" i="21"/>
  <c r="H36" i="21"/>
  <c r="G36" i="21"/>
  <c r="I36" i="21" s="1"/>
  <c r="E36" i="21"/>
  <c r="Q36" i="21" s="1"/>
  <c r="B36" i="21"/>
  <c r="C36" i="21" s="1"/>
  <c r="S35" i="21"/>
  <c r="H35" i="21"/>
  <c r="G35" i="21"/>
  <c r="I35" i="21" s="1"/>
  <c r="E35" i="21"/>
  <c r="Q35" i="21" s="1"/>
  <c r="B35" i="21"/>
  <c r="C35" i="21" s="1"/>
  <c r="S34" i="21"/>
  <c r="H34" i="21"/>
  <c r="G34" i="21"/>
  <c r="I34" i="21" s="1"/>
  <c r="E34" i="21"/>
  <c r="Q34" i="21" s="1"/>
  <c r="B34" i="21"/>
  <c r="C34" i="21" s="1"/>
  <c r="S33" i="21"/>
  <c r="H33" i="21"/>
  <c r="G33" i="21"/>
  <c r="I33" i="21" s="1"/>
  <c r="E33" i="21"/>
  <c r="Q33" i="21" s="1"/>
  <c r="B33" i="21"/>
  <c r="C33" i="21" s="1"/>
  <c r="S32" i="21"/>
  <c r="H32" i="21"/>
  <c r="G32" i="21"/>
  <c r="I32" i="21" s="1"/>
  <c r="E32" i="21"/>
  <c r="Q32" i="21" s="1"/>
  <c r="B32" i="21"/>
  <c r="C32" i="21" s="1"/>
  <c r="S31" i="21"/>
  <c r="H31" i="21"/>
  <c r="G31" i="21"/>
  <c r="I31" i="21" s="1"/>
  <c r="E31" i="21"/>
  <c r="Q31" i="21" s="1"/>
  <c r="B31" i="21"/>
  <c r="C31" i="21" s="1"/>
  <c r="S30" i="21"/>
  <c r="H30" i="21"/>
  <c r="G30" i="21"/>
  <c r="I30" i="21" s="1"/>
  <c r="E30" i="21"/>
  <c r="Q30" i="21" s="1"/>
  <c r="B30" i="21"/>
  <c r="C30" i="21" s="1"/>
  <c r="S29" i="21"/>
  <c r="H29" i="21"/>
  <c r="G29" i="21"/>
  <c r="I29" i="21" s="1"/>
  <c r="E29" i="21"/>
  <c r="Q29" i="21" s="1"/>
  <c r="B29" i="21"/>
  <c r="C29" i="21" s="1"/>
  <c r="S28" i="21"/>
  <c r="H28" i="21"/>
  <c r="G28" i="21"/>
  <c r="I28" i="21" s="1"/>
  <c r="E28" i="21"/>
  <c r="Q28" i="21" s="1"/>
  <c r="B28" i="21"/>
  <c r="C28" i="21" s="1"/>
  <c r="S27" i="21"/>
  <c r="H27" i="21"/>
  <c r="G27" i="21"/>
  <c r="I27" i="21" s="1"/>
  <c r="E27" i="21"/>
  <c r="Q27" i="21" s="1"/>
  <c r="B27" i="21"/>
  <c r="C27" i="21" s="1"/>
  <c r="S26" i="21"/>
  <c r="H26" i="21"/>
  <c r="G26" i="21"/>
  <c r="I26" i="21" s="1"/>
  <c r="E26" i="21"/>
  <c r="Q26" i="21" s="1"/>
  <c r="B26" i="21"/>
  <c r="C26" i="21" s="1"/>
  <c r="T25" i="21"/>
  <c r="S25" i="21"/>
  <c r="H25" i="21"/>
  <c r="G25" i="21"/>
  <c r="I25" i="21" s="1"/>
  <c r="E25" i="21"/>
  <c r="Q25" i="21" s="1"/>
  <c r="B25" i="21"/>
  <c r="C25" i="21" s="1"/>
  <c r="T24" i="21"/>
  <c r="S24" i="21"/>
  <c r="H24" i="21"/>
  <c r="G24" i="21"/>
  <c r="I24" i="21" s="1"/>
  <c r="E24" i="21"/>
  <c r="Q24" i="21" s="1"/>
  <c r="B24" i="21"/>
  <c r="C24" i="21" s="1"/>
  <c r="S23" i="21"/>
  <c r="H23" i="21"/>
  <c r="G23" i="21"/>
  <c r="I23" i="21" s="1"/>
  <c r="E23" i="21"/>
  <c r="Q23" i="21" s="1"/>
  <c r="B23" i="21"/>
  <c r="C23" i="21" s="1"/>
  <c r="T22" i="21"/>
  <c r="T41" i="21" s="1"/>
  <c r="I52" i="21" s="1"/>
  <c r="S22" i="21"/>
  <c r="H22" i="21"/>
  <c r="H40" i="21" s="1"/>
  <c r="N41" i="21" s="1"/>
  <c r="G22" i="21"/>
  <c r="I22" i="21" s="1"/>
  <c r="I40" i="21" s="1"/>
  <c r="E22" i="21"/>
  <c r="Q22" i="21" s="1"/>
  <c r="Q39" i="21" s="1"/>
  <c r="B22" i="21"/>
  <c r="H21" i="21"/>
  <c r="G21" i="21"/>
  <c r="I20" i="21"/>
  <c r="L13" i="21"/>
  <c r="J13" i="21"/>
  <c r="I13" i="21"/>
  <c r="G13" i="21"/>
  <c r="J12" i="21"/>
  <c r="J14" i="21" s="1"/>
  <c r="H12" i="21"/>
  <c r="H14" i="21" s="1"/>
  <c r="L11" i="21"/>
  <c r="J11" i="21"/>
  <c r="E63" i="21" s="1"/>
  <c r="I11" i="21"/>
  <c r="H11" i="21"/>
  <c r="G11" i="21"/>
  <c r="F11" i="21"/>
  <c r="E21" i="21" s="1"/>
  <c r="F12" i="21" s="1"/>
  <c r="E11" i="21"/>
  <c r="N11" i="21" s="1"/>
  <c r="E8" i="21"/>
  <c r="E7" i="21"/>
  <c r="G6" i="21"/>
  <c r="E6" i="21"/>
  <c r="N5" i="21"/>
  <c r="G5" i="21"/>
  <c r="E5" i="21"/>
  <c r="E3" i="21"/>
  <c r="K73" i="20"/>
  <c r="E71" i="20"/>
  <c r="E70" i="20"/>
  <c r="E69" i="20"/>
  <c r="E68" i="20"/>
  <c r="E73" i="20" s="1"/>
  <c r="H63" i="20"/>
  <c r="I63" i="20" s="1"/>
  <c r="K62" i="20"/>
  <c r="E60" i="20"/>
  <c r="E59" i="20"/>
  <c r="E58" i="20"/>
  <c r="E57" i="20"/>
  <c r="E62" i="20" s="1"/>
  <c r="K63" i="20" s="1"/>
  <c r="N51" i="20"/>
  <c r="L51" i="20"/>
  <c r="K51" i="20"/>
  <c r="H49" i="20"/>
  <c r="G49" i="20"/>
  <c r="I49" i="20" s="1"/>
  <c r="E49" i="20"/>
  <c r="H48" i="20"/>
  <c r="G48" i="20"/>
  <c r="I48" i="20" s="1"/>
  <c r="E48" i="20"/>
  <c r="H47" i="20"/>
  <c r="T23" i="20" s="1"/>
  <c r="G47" i="20"/>
  <c r="I47" i="20" s="1"/>
  <c r="E47" i="20"/>
  <c r="E51" i="20" s="1"/>
  <c r="H46" i="20"/>
  <c r="H51" i="20" s="1"/>
  <c r="N52" i="20" s="1"/>
  <c r="G46" i="20"/>
  <c r="N40" i="20"/>
  <c r="L40" i="20"/>
  <c r="K40" i="20"/>
  <c r="S38" i="20"/>
  <c r="H38" i="20"/>
  <c r="G38" i="20"/>
  <c r="I38" i="20" s="1"/>
  <c r="E38" i="20"/>
  <c r="Q38" i="20" s="1"/>
  <c r="B38" i="20"/>
  <c r="C38" i="20" s="1"/>
  <c r="S37" i="20"/>
  <c r="H37" i="20"/>
  <c r="G37" i="20"/>
  <c r="I37" i="20" s="1"/>
  <c r="E37" i="20"/>
  <c r="Q37" i="20" s="1"/>
  <c r="B37" i="20"/>
  <c r="C37" i="20" s="1"/>
  <c r="S36" i="20"/>
  <c r="H36" i="20"/>
  <c r="G36" i="20"/>
  <c r="I36" i="20" s="1"/>
  <c r="E36" i="20"/>
  <c r="Q36" i="20" s="1"/>
  <c r="B36" i="20"/>
  <c r="C36" i="20" s="1"/>
  <c r="S35" i="20"/>
  <c r="H35" i="20"/>
  <c r="G35" i="20"/>
  <c r="I35" i="20" s="1"/>
  <c r="E35" i="20"/>
  <c r="Q35" i="20" s="1"/>
  <c r="B35" i="20"/>
  <c r="C35" i="20" s="1"/>
  <c r="S34" i="20"/>
  <c r="H34" i="20"/>
  <c r="G34" i="20"/>
  <c r="I34" i="20" s="1"/>
  <c r="E34" i="20"/>
  <c r="Q34" i="20" s="1"/>
  <c r="B34" i="20"/>
  <c r="C34" i="20" s="1"/>
  <c r="S33" i="20"/>
  <c r="H33" i="20"/>
  <c r="G33" i="20"/>
  <c r="I33" i="20" s="1"/>
  <c r="E33" i="20"/>
  <c r="Q33" i="20" s="1"/>
  <c r="B33" i="20"/>
  <c r="C33" i="20" s="1"/>
  <c r="S32" i="20"/>
  <c r="H32" i="20"/>
  <c r="G32" i="20"/>
  <c r="I32" i="20" s="1"/>
  <c r="E32" i="20"/>
  <c r="Q32" i="20" s="1"/>
  <c r="B32" i="20"/>
  <c r="C32" i="20" s="1"/>
  <c r="S31" i="20"/>
  <c r="H31" i="20"/>
  <c r="G31" i="20"/>
  <c r="I31" i="20" s="1"/>
  <c r="E31" i="20"/>
  <c r="Q31" i="20" s="1"/>
  <c r="B31" i="20"/>
  <c r="C31" i="20" s="1"/>
  <c r="S30" i="20"/>
  <c r="Q30" i="20"/>
  <c r="H30" i="20"/>
  <c r="G30" i="20"/>
  <c r="I30" i="20" s="1"/>
  <c r="B30" i="20"/>
  <c r="C30" i="20" s="1"/>
  <c r="S29" i="20"/>
  <c r="H29" i="20"/>
  <c r="G29" i="20"/>
  <c r="I29" i="20" s="1"/>
  <c r="E29" i="20"/>
  <c r="Q29" i="20" s="1"/>
  <c r="B29" i="20"/>
  <c r="C29" i="20" s="1"/>
  <c r="S28" i="20"/>
  <c r="H28" i="20"/>
  <c r="G28" i="20"/>
  <c r="I28" i="20" s="1"/>
  <c r="E28" i="20"/>
  <c r="Q28" i="20" s="1"/>
  <c r="B28" i="20"/>
  <c r="C28" i="20" s="1"/>
  <c r="S27" i="20"/>
  <c r="H27" i="20"/>
  <c r="G27" i="20"/>
  <c r="I27" i="20" s="1"/>
  <c r="E27" i="20"/>
  <c r="Q27" i="20" s="1"/>
  <c r="B27" i="20"/>
  <c r="C27" i="20" s="1"/>
  <c r="S26" i="20"/>
  <c r="H26" i="20"/>
  <c r="G26" i="20"/>
  <c r="I26" i="20" s="1"/>
  <c r="E26" i="20"/>
  <c r="Q26" i="20" s="1"/>
  <c r="B26" i="20"/>
  <c r="C26" i="20" s="1"/>
  <c r="T25" i="20"/>
  <c r="S25" i="20"/>
  <c r="H25" i="20"/>
  <c r="G25" i="20"/>
  <c r="I25" i="20" s="1"/>
  <c r="E25" i="20"/>
  <c r="Q25" i="20" s="1"/>
  <c r="B25" i="20"/>
  <c r="C25" i="20" s="1"/>
  <c r="T24" i="20"/>
  <c r="S24" i="20"/>
  <c r="H24" i="20"/>
  <c r="G24" i="20"/>
  <c r="I24" i="20" s="1"/>
  <c r="E24" i="20"/>
  <c r="Q24" i="20" s="1"/>
  <c r="B24" i="20"/>
  <c r="C24" i="20" s="1"/>
  <c r="S23" i="20"/>
  <c r="H23" i="20"/>
  <c r="G23" i="20"/>
  <c r="I23" i="20" s="1"/>
  <c r="E23" i="20"/>
  <c r="Q23" i="20" s="1"/>
  <c r="B23" i="20"/>
  <c r="C23" i="20" s="1"/>
  <c r="T22" i="20"/>
  <c r="T41" i="20" s="1"/>
  <c r="I52" i="20" s="1"/>
  <c r="S22" i="20"/>
  <c r="H22" i="20"/>
  <c r="H40" i="20" s="1"/>
  <c r="N41" i="20" s="1"/>
  <c r="G22" i="20"/>
  <c r="I22" i="20" s="1"/>
  <c r="I40" i="20" s="1"/>
  <c r="E22" i="20"/>
  <c r="Q22" i="20" s="1"/>
  <c r="Q39" i="20" s="1"/>
  <c r="B22" i="20"/>
  <c r="B40" i="20" s="1"/>
  <c r="H21" i="20"/>
  <c r="G21" i="20"/>
  <c r="I20" i="20"/>
  <c r="G15" i="20"/>
  <c r="J13" i="20"/>
  <c r="H13" i="20"/>
  <c r="G13" i="20"/>
  <c r="L12" i="20"/>
  <c r="L11" i="20"/>
  <c r="J11" i="20"/>
  <c r="I11" i="20"/>
  <c r="H11" i="20"/>
  <c r="E52" i="20" s="1"/>
  <c r="G11" i="20"/>
  <c r="F11" i="20"/>
  <c r="E11" i="20"/>
  <c r="E8" i="20"/>
  <c r="E7" i="20"/>
  <c r="G6" i="20"/>
  <c r="E6" i="20"/>
  <c r="N5" i="20"/>
  <c r="G5" i="20"/>
  <c r="E3" i="20"/>
  <c r="K73" i="19"/>
  <c r="E71" i="19"/>
  <c r="E70" i="19"/>
  <c r="E69" i="19"/>
  <c r="E68" i="19"/>
  <c r="E73" i="19" s="1"/>
  <c r="K74" i="19" s="1"/>
  <c r="H63" i="19"/>
  <c r="I63" i="19" s="1"/>
  <c r="K62" i="19"/>
  <c r="E60" i="19"/>
  <c r="E59" i="19"/>
  <c r="E58" i="19"/>
  <c r="E57" i="19"/>
  <c r="E62" i="19" s="1"/>
  <c r="K63" i="19" s="1"/>
  <c r="N51" i="19"/>
  <c r="L51" i="19"/>
  <c r="K51" i="19"/>
  <c r="H49" i="19"/>
  <c r="G49" i="19"/>
  <c r="I49" i="19" s="1"/>
  <c r="E49" i="19"/>
  <c r="H48" i="19"/>
  <c r="G48" i="19"/>
  <c r="E48" i="19"/>
  <c r="H47" i="19"/>
  <c r="T23" i="19" s="1"/>
  <c r="G47" i="19"/>
  <c r="E47" i="19"/>
  <c r="H46" i="19"/>
  <c r="H51" i="19" s="1"/>
  <c r="G46" i="19"/>
  <c r="E46" i="19"/>
  <c r="E51" i="19" s="1"/>
  <c r="K52" i="19" s="1"/>
  <c r="N40" i="19"/>
  <c r="L40" i="19"/>
  <c r="I13" i="19" s="1"/>
  <c r="K40" i="19"/>
  <c r="S38" i="19"/>
  <c r="H38" i="19"/>
  <c r="G38" i="19"/>
  <c r="I38" i="19" s="1"/>
  <c r="E38" i="19"/>
  <c r="Q38" i="19" s="1"/>
  <c r="B38" i="19"/>
  <c r="C38" i="19" s="1"/>
  <c r="S37" i="19"/>
  <c r="H37" i="19"/>
  <c r="G37" i="19"/>
  <c r="I37" i="19" s="1"/>
  <c r="E37" i="19"/>
  <c r="Q37" i="19" s="1"/>
  <c r="B37" i="19"/>
  <c r="C37" i="19" s="1"/>
  <c r="S36" i="19"/>
  <c r="H36" i="19"/>
  <c r="G36" i="19"/>
  <c r="I36" i="19" s="1"/>
  <c r="E36" i="19"/>
  <c r="Q36" i="19" s="1"/>
  <c r="B36" i="19"/>
  <c r="C36" i="19" s="1"/>
  <c r="S35" i="19"/>
  <c r="H35" i="19"/>
  <c r="G35" i="19"/>
  <c r="I35" i="19" s="1"/>
  <c r="E35" i="19"/>
  <c r="Q35" i="19" s="1"/>
  <c r="B35" i="19"/>
  <c r="C35" i="19" s="1"/>
  <c r="S34" i="19"/>
  <c r="H34" i="19"/>
  <c r="G34" i="19"/>
  <c r="I34" i="19" s="1"/>
  <c r="E34" i="19"/>
  <c r="Q34" i="19" s="1"/>
  <c r="B34" i="19"/>
  <c r="C34" i="19" s="1"/>
  <c r="S33" i="19"/>
  <c r="H33" i="19"/>
  <c r="G33" i="19"/>
  <c r="I33" i="19" s="1"/>
  <c r="E33" i="19"/>
  <c r="Q33" i="19" s="1"/>
  <c r="B33" i="19"/>
  <c r="C33" i="19" s="1"/>
  <c r="S32" i="19"/>
  <c r="H32" i="19"/>
  <c r="G32" i="19"/>
  <c r="I32" i="19" s="1"/>
  <c r="E32" i="19"/>
  <c r="Q32" i="19" s="1"/>
  <c r="B32" i="19"/>
  <c r="C32" i="19" s="1"/>
  <c r="S31" i="19"/>
  <c r="H31" i="19"/>
  <c r="G31" i="19"/>
  <c r="I31" i="19" s="1"/>
  <c r="E31" i="19"/>
  <c r="Q31" i="19" s="1"/>
  <c r="B31" i="19"/>
  <c r="C31" i="19" s="1"/>
  <c r="S30" i="19"/>
  <c r="H30" i="19"/>
  <c r="G30" i="19"/>
  <c r="I30" i="19" s="1"/>
  <c r="E30" i="19"/>
  <c r="Q30" i="19" s="1"/>
  <c r="B30" i="19"/>
  <c r="C30" i="19" s="1"/>
  <c r="S29" i="19"/>
  <c r="H29" i="19"/>
  <c r="G29" i="19"/>
  <c r="I29" i="19" s="1"/>
  <c r="E29" i="19"/>
  <c r="Q29" i="19" s="1"/>
  <c r="B29" i="19"/>
  <c r="C29" i="19" s="1"/>
  <c r="S28" i="19"/>
  <c r="H28" i="19"/>
  <c r="G28" i="19"/>
  <c r="I28" i="19" s="1"/>
  <c r="E28" i="19"/>
  <c r="Q28" i="19" s="1"/>
  <c r="B28" i="19"/>
  <c r="C28" i="19" s="1"/>
  <c r="S27" i="19"/>
  <c r="H27" i="19"/>
  <c r="G27" i="19"/>
  <c r="I27" i="19" s="1"/>
  <c r="E27" i="19"/>
  <c r="Q27" i="19" s="1"/>
  <c r="B27" i="19"/>
  <c r="C27" i="19" s="1"/>
  <c r="S26" i="19"/>
  <c r="H26" i="19"/>
  <c r="G26" i="19"/>
  <c r="I26" i="19" s="1"/>
  <c r="E26" i="19"/>
  <c r="Q26" i="19" s="1"/>
  <c r="B26" i="19"/>
  <c r="C26" i="19" s="1"/>
  <c r="T25" i="19"/>
  <c r="S25" i="19"/>
  <c r="H25" i="19"/>
  <c r="G25" i="19"/>
  <c r="I25" i="19" s="1"/>
  <c r="E25" i="19"/>
  <c r="Q25" i="19" s="1"/>
  <c r="B25" i="19"/>
  <c r="C25" i="19" s="1"/>
  <c r="S24" i="19"/>
  <c r="H24" i="19"/>
  <c r="G24" i="19"/>
  <c r="I24" i="19" s="1"/>
  <c r="E24" i="19"/>
  <c r="Q24" i="19" s="1"/>
  <c r="B24" i="19"/>
  <c r="C24" i="19" s="1"/>
  <c r="S23" i="19"/>
  <c r="H23" i="19"/>
  <c r="G23" i="19"/>
  <c r="I23" i="19" s="1"/>
  <c r="E23" i="19"/>
  <c r="Q23" i="19" s="1"/>
  <c r="B23" i="19"/>
  <c r="C23" i="19" s="1"/>
  <c r="T22" i="19"/>
  <c r="T41" i="19" s="1"/>
  <c r="I52" i="19" s="1"/>
  <c r="S22" i="19"/>
  <c r="H22" i="19"/>
  <c r="H40" i="19" s="1"/>
  <c r="N41" i="19" s="1"/>
  <c r="G22" i="19"/>
  <c r="I22" i="19" s="1"/>
  <c r="I40" i="19" s="1"/>
  <c r="E22" i="19"/>
  <c r="B22" i="19"/>
  <c r="H21" i="19"/>
  <c r="G21" i="19"/>
  <c r="G40" i="19" s="1"/>
  <c r="L41" i="19" s="1"/>
  <c r="I20" i="19"/>
  <c r="G15" i="19"/>
  <c r="L13" i="19"/>
  <c r="J13" i="19"/>
  <c r="H13" i="19"/>
  <c r="G13" i="19"/>
  <c r="L12" i="19"/>
  <c r="L14" i="19" s="1"/>
  <c r="J12" i="19"/>
  <c r="H12" i="19"/>
  <c r="H14" i="19" s="1"/>
  <c r="L11" i="19"/>
  <c r="J11" i="19"/>
  <c r="E63" i="19" s="1"/>
  <c r="I11" i="19"/>
  <c r="H11" i="19"/>
  <c r="E52" i="19" s="1"/>
  <c r="G11" i="19"/>
  <c r="F11" i="19"/>
  <c r="E11" i="19"/>
  <c r="N11" i="19" s="1"/>
  <c r="E8" i="19"/>
  <c r="G7" i="19"/>
  <c r="E7" i="19"/>
  <c r="G8" i="19" s="1"/>
  <c r="G6" i="19"/>
  <c r="E6" i="19"/>
  <c r="N5" i="19"/>
  <c r="G5" i="19"/>
  <c r="E5" i="19"/>
  <c r="E3" i="19"/>
  <c r="K73" i="18"/>
  <c r="L13" i="18" s="1"/>
  <c r="E71" i="18"/>
  <c r="E70" i="18"/>
  <c r="E69" i="18"/>
  <c r="E68" i="18"/>
  <c r="E73" i="18" s="1"/>
  <c r="H63" i="18"/>
  <c r="I63" i="18" s="1"/>
  <c r="K62" i="18"/>
  <c r="E60" i="18"/>
  <c r="E59" i="18"/>
  <c r="E58" i="18"/>
  <c r="E57" i="18"/>
  <c r="E62" i="18" s="1"/>
  <c r="N51" i="18"/>
  <c r="L51" i="18"/>
  <c r="K51" i="18"/>
  <c r="H13" i="18" s="1"/>
  <c r="H49" i="18"/>
  <c r="G49" i="18"/>
  <c r="I49" i="18" s="1"/>
  <c r="E49" i="18"/>
  <c r="H48" i="18"/>
  <c r="G48" i="18"/>
  <c r="I48" i="18" s="1"/>
  <c r="E48" i="18"/>
  <c r="H47" i="18"/>
  <c r="G47" i="18"/>
  <c r="I47" i="18" s="1"/>
  <c r="E47" i="18"/>
  <c r="H46" i="18"/>
  <c r="H51" i="18" s="1"/>
  <c r="N52" i="18" s="1"/>
  <c r="G46" i="18"/>
  <c r="E46" i="18"/>
  <c r="E51" i="18" s="1"/>
  <c r="N40" i="18"/>
  <c r="L40" i="18"/>
  <c r="K40" i="18"/>
  <c r="S38" i="18"/>
  <c r="H38" i="18"/>
  <c r="G38" i="18"/>
  <c r="I38" i="18" s="1"/>
  <c r="E38" i="18"/>
  <c r="Q38" i="18" s="1"/>
  <c r="B38" i="18"/>
  <c r="C38" i="18" s="1"/>
  <c r="S37" i="18"/>
  <c r="H37" i="18"/>
  <c r="G37" i="18"/>
  <c r="I37" i="18" s="1"/>
  <c r="E37" i="18"/>
  <c r="Q37" i="18" s="1"/>
  <c r="B37" i="18"/>
  <c r="C37" i="18" s="1"/>
  <c r="S36" i="18"/>
  <c r="H36" i="18"/>
  <c r="G36" i="18"/>
  <c r="I36" i="18" s="1"/>
  <c r="E36" i="18"/>
  <c r="Q36" i="18" s="1"/>
  <c r="B36" i="18"/>
  <c r="C36" i="18" s="1"/>
  <c r="S35" i="18"/>
  <c r="H35" i="18"/>
  <c r="G35" i="18"/>
  <c r="I35" i="18" s="1"/>
  <c r="E35" i="18"/>
  <c r="Q35" i="18" s="1"/>
  <c r="B35" i="18"/>
  <c r="C35" i="18" s="1"/>
  <c r="S34" i="18"/>
  <c r="H34" i="18"/>
  <c r="G34" i="18"/>
  <c r="I34" i="18" s="1"/>
  <c r="E34" i="18"/>
  <c r="Q34" i="18" s="1"/>
  <c r="B34" i="18"/>
  <c r="C34" i="18" s="1"/>
  <c r="S33" i="18"/>
  <c r="H33" i="18"/>
  <c r="G33" i="18"/>
  <c r="I33" i="18" s="1"/>
  <c r="E33" i="18"/>
  <c r="Q33" i="18" s="1"/>
  <c r="B33" i="18"/>
  <c r="C33" i="18" s="1"/>
  <c r="S32" i="18"/>
  <c r="H32" i="18"/>
  <c r="G32" i="18"/>
  <c r="I32" i="18" s="1"/>
  <c r="E32" i="18"/>
  <c r="Q32" i="18" s="1"/>
  <c r="B32" i="18"/>
  <c r="C32" i="18" s="1"/>
  <c r="S31" i="18"/>
  <c r="H31" i="18"/>
  <c r="G31" i="18"/>
  <c r="I31" i="18" s="1"/>
  <c r="E31" i="18"/>
  <c r="Q31" i="18" s="1"/>
  <c r="B31" i="18"/>
  <c r="C31" i="18" s="1"/>
  <c r="S30" i="18"/>
  <c r="H30" i="18"/>
  <c r="G30" i="18"/>
  <c r="I30" i="18" s="1"/>
  <c r="E30" i="18"/>
  <c r="Q30" i="18" s="1"/>
  <c r="B30" i="18"/>
  <c r="C30" i="18" s="1"/>
  <c r="S29" i="18"/>
  <c r="H29" i="18"/>
  <c r="G29" i="18"/>
  <c r="I29" i="18" s="1"/>
  <c r="E29" i="18"/>
  <c r="Q29" i="18" s="1"/>
  <c r="B29" i="18"/>
  <c r="C29" i="18" s="1"/>
  <c r="S28" i="18"/>
  <c r="H28" i="18"/>
  <c r="G28" i="18"/>
  <c r="I28" i="18" s="1"/>
  <c r="E28" i="18"/>
  <c r="Q28" i="18" s="1"/>
  <c r="B28" i="18"/>
  <c r="C28" i="18" s="1"/>
  <c r="S27" i="18"/>
  <c r="H27" i="18"/>
  <c r="G27" i="18"/>
  <c r="I27" i="18" s="1"/>
  <c r="E27" i="18"/>
  <c r="Q27" i="18" s="1"/>
  <c r="B27" i="18"/>
  <c r="C27" i="18" s="1"/>
  <c r="S26" i="18"/>
  <c r="H26" i="18"/>
  <c r="G26" i="18"/>
  <c r="I26" i="18" s="1"/>
  <c r="E26" i="18"/>
  <c r="Q26" i="18" s="1"/>
  <c r="B26" i="18"/>
  <c r="C26" i="18" s="1"/>
  <c r="T25" i="18"/>
  <c r="S25" i="18"/>
  <c r="H25" i="18"/>
  <c r="G25" i="18"/>
  <c r="I25" i="18" s="1"/>
  <c r="E25" i="18"/>
  <c r="Q25" i="18" s="1"/>
  <c r="B25" i="18"/>
  <c r="C25" i="18" s="1"/>
  <c r="T24" i="18"/>
  <c r="S24" i="18"/>
  <c r="H24" i="18"/>
  <c r="G24" i="18"/>
  <c r="I24" i="18" s="1"/>
  <c r="E24" i="18"/>
  <c r="Q24" i="18" s="1"/>
  <c r="B24" i="18"/>
  <c r="C24" i="18" s="1"/>
  <c r="T23" i="18"/>
  <c r="S23" i="18"/>
  <c r="H23" i="18"/>
  <c r="G23" i="18"/>
  <c r="I23" i="18" s="1"/>
  <c r="E23" i="18"/>
  <c r="Q23" i="18" s="1"/>
  <c r="B23" i="18"/>
  <c r="C23" i="18" s="1"/>
  <c r="T22" i="18"/>
  <c r="T41" i="18" s="1"/>
  <c r="I52" i="18" s="1"/>
  <c r="S22" i="18"/>
  <c r="H22" i="18"/>
  <c r="H40" i="18" s="1"/>
  <c r="N41" i="18" s="1"/>
  <c r="G22" i="18"/>
  <c r="I22" i="18" s="1"/>
  <c r="I40" i="18" s="1"/>
  <c r="E22" i="18"/>
  <c r="B22" i="18"/>
  <c r="H21" i="18"/>
  <c r="G21" i="18"/>
  <c r="I20" i="18"/>
  <c r="G15" i="18"/>
  <c r="J13" i="18"/>
  <c r="I13" i="18"/>
  <c r="G13" i="18"/>
  <c r="L11" i="18"/>
  <c r="J11" i="18"/>
  <c r="I11" i="18"/>
  <c r="H11" i="18"/>
  <c r="G11" i="18"/>
  <c r="F11" i="18"/>
  <c r="E21" i="18" s="1"/>
  <c r="F12" i="18" s="1"/>
  <c r="E11" i="18"/>
  <c r="N11" i="18" s="1"/>
  <c r="E8" i="18"/>
  <c r="G7" i="18"/>
  <c r="E7" i="18"/>
  <c r="G6" i="18"/>
  <c r="E6" i="18"/>
  <c r="N5" i="18"/>
  <c r="G5" i="18"/>
  <c r="E5" i="18"/>
  <c r="E3" i="18"/>
  <c r="K73" i="17"/>
  <c r="E71" i="17"/>
  <c r="E70" i="17"/>
  <c r="E69" i="17"/>
  <c r="E68" i="17"/>
  <c r="E73" i="17" s="1"/>
  <c r="H63" i="17"/>
  <c r="I63" i="17" s="1"/>
  <c r="K62" i="17"/>
  <c r="E60" i="17"/>
  <c r="E59" i="17"/>
  <c r="E58" i="17"/>
  <c r="E57" i="17"/>
  <c r="E62" i="17" s="1"/>
  <c r="K63" i="17" s="1"/>
  <c r="N51" i="17"/>
  <c r="L51" i="17"/>
  <c r="K51" i="17"/>
  <c r="H49" i="17"/>
  <c r="G49" i="17"/>
  <c r="E49" i="17"/>
  <c r="H48" i="17"/>
  <c r="T24" i="17" s="1"/>
  <c r="G48" i="17"/>
  <c r="I48" i="17" s="1"/>
  <c r="E48" i="17"/>
  <c r="H47" i="17"/>
  <c r="G47" i="17"/>
  <c r="E47" i="17"/>
  <c r="H46" i="17"/>
  <c r="H51" i="17" s="1"/>
  <c r="N52" i="17" s="1"/>
  <c r="G46" i="17"/>
  <c r="G51" i="17" s="1"/>
  <c r="L52" i="17" s="1"/>
  <c r="E46" i="17"/>
  <c r="E51" i="17" s="1"/>
  <c r="K52" i="17" s="1"/>
  <c r="N40" i="17"/>
  <c r="L40" i="17"/>
  <c r="K40" i="17"/>
  <c r="S38" i="17"/>
  <c r="H38" i="17"/>
  <c r="G38" i="17"/>
  <c r="I38" i="17" s="1"/>
  <c r="E38" i="17"/>
  <c r="Q38" i="17" s="1"/>
  <c r="B38" i="17"/>
  <c r="C38" i="17" s="1"/>
  <c r="S37" i="17"/>
  <c r="H37" i="17"/>
  <c r="G37" i="17"/>
  <c r="I37" i="17" s="1"/>
  <c r="E37" i="17"/>
  <c r="Q37" i="17" s="1"/>
  <c r="B37" i="17"/>
  <c r="C37" i="17" s="1"/>
  <c r="S36" i="17"/>
  <c r="H36" i="17"/>
  <c r="G36" i="17"/>
  <c r="I36" i="17" s="1"/>
  <c r="E36" i="17"/>
  <c r="Q36" i="17" s="1"/>
  <c r="B36" i="17"/>
  <c r="C36" i="17" s="1"/>
  <c r="S35" i="17"/>
  <c r="H35" i="17"/>
  <c r="G35" i="17"/>
  <c r="I35" i="17" s="1"/>
  <c r="E35" i="17"/>
  <c r="Q35" i="17" s="1"/>
  <c r="B35" i="17"/>
  <c r="C35" i="17" s="1"/>
  <c r="S34" i="17"/>
  <c r="H34" i="17"/>
  <c r="G34" i="17"/>
  <c r="I34" i="17" s="1"/>
  <c r="E34" i="17"/>
  <c r="Q34" i="17" s="1"/>
  <c r="B34" i="17"/>
  <c r="C34" i="17" s="1"/>
  <c r="S33" i="17"/>
  <c r="H33" i="17"/>
  <c r="G33" i="17"/>
  <c r="I33" i="17" s="1"/>
  <c r="E33" i="17"/>
  <c r="Q33" i="17" s="1"/>
  <c r="B33" i="17"/>
  <c r="C33" i="17" s="1"/>
  <c r="S32" i="17"/>
  <c r="H32" i="17"/>
  <c r="G32" i="17"/>
  <c r="I32" i="17" s="1"/>
  <c r="E32" i="17"/>
  <c r="Q32" i="17" s="1"/>
  <c r="B32" i="17"/>
  <c r="C32" i="17" s="1"/>
  <c r="S31" i="17"/>
  <c r="H31" i="17"/>
  <c r="G31" i="17"/>
  <c r="I31" i="17" s="1"/>
  <c r="E31" i="17"/>
  <c r="Q31" i="17" s="1"/>
  <c r="B31" i="17"/>
  <c r="C31" i="17" s="1"/>
  <c r="S30" i="17"/>
  <c r="H30" i="17"/>
  <c r="G30" i="17"/>
  <c r="I30" i="17" s="1"/>
  <c r="E30" i="17"/>
  <c r="Q30" i="17" s="1"/>
  <c r="B30" i="17"/>
  <c r="C30" i="17" s="1"/>
  <c r="S29" i="17"/>
  <c r="H29" i="17"/>
  <c r="G29" i="17"/>
  <c r="I29" i="17" s="1"/>
  <c r="E29" i="17"/>
  <c r="Q29" i="17" s="1"/>
  <c r="B29" i="17"/>
  <c r="C29" i="17" s="1"/>
  <c r="S28" i="17"/>
  <c r="H28" i="17"/>
  <c r="G28" i="17"/>
  <c r="I28" i="17" s="1"/>
  <c r="E28" i="17"/>
  <c r="Q28" i="17" s="1"/>
  <c r="B28" i="17"/>
  <c r="C28" i="17" s="1"/>
  <c r="S27" i="17"/>
  <c r="H27" i="17"/>
  <c r="G27" i="17"/>
  <c r="I27" i="17" s="1"/>
  <c r="E27" i="17"/>
  <c r="Q27" i="17" s="1"/>
  <c r="B27" i="17"/>
  <c r="C27" i="17" s="1"/>
  <c r="S26" i="17"/>
  <c r="H26" i="17"/>
  <c r="G26" i="17"/>
  <c r="I26" i="17" s="1"/>
  <c r="E26" i="17"/>
  <c r="Q26" i="17" s="1"/>
  <c r="B26" i="17"/>
  <c r="C26" i="17" s="1"/>
  <c r="T25" i="17"/>
  <c r="S25" i="17"/>
  <c r="H25" i="17"/>
  <c r="G25" i="17"/>
  <c r="I25" i="17" s="1"/>
  <c r="E25" i="17"/>
  <c r="Q25" i="17" s="1"/>
  <c r="B25" i="17"/>
  <c r="C25" i="17" s="1"/>
  <c r="S24" i="17"/>
  <c r="H24" i="17"/>
  <c r="G24" i="17"/>
  <c r="I24" i="17" s="1"/>
  <c r="E24" i="17"/>
  <c r="Q24" i="17" s="1"/>
  <c r="B24" i="17"/>
  <c r="C24" i="17" s="1"/>
  <c r="T23" i="17"/>
  <c r="S23" i="17"/>
  <c r="H23" i="17"/>
  <c r="G23" i="17"/>
  <c r="I23" i="17" s="1"/>
  <c r="E23" i="17"/>
  <c r="Q23" i="17" s="1"/>
  <c r="B23" i="17"/>
  <c r="C23" i="17" s="1"/>
  <c r="T22" i="17"/>
  <c r="T41" i="17" s="1"/>
  <c r="I52" i="17" s="1"/>
  <c r="S22" i="17"/>
  <c r="S41" i="17" s="1"/>
  <c r="H22" i="17"/>
  <c r="H40" i="17" s="1"/>
  <c r="N41" i="17" s="1"/>
  <c r="G22" i="17"/>
  <c r="I22" i="17" s="1"/>
  <c r="I40" i="17" s="1"/>
  <c r="E22" i="17"/>
  <c r="B22" i="17"/>
  <c r="H21" i="17"/>
  <c r="G21" i="17"/>
  <c r="I20" i="17"/>
  <c r="L13" i="17"/>
  <c r="J13" i="17"/>
  <c r="I13" i="17"/>
  <c r="H13" i="17"/>
  <c r="G13" i="17"/>
  <c r="J12" i="17"/>
  <c r="J14" i="17" s="1"/>
  <c r="H12" i="17"/>
  <c r="H14" i="17" s="1"/>
  <c r="L11" i="17"/>
  <c r="J11" i="17"/>
  <c r="E63" i="17" s="1"/>
  <c r="I11" i="17"/>
  <c r="H11" i="17"/>
  <c r="E52" i="17" s="1"/>
  <c r="G11" i="17"/>
  <c r="F11" i="17"/>
  <c r="E21" i="17" s="1"/>
  <c r="F12" i="17" s="1"/>
  <c r="E11" i="17"/>
  <c r="E8" i="17"/>
  <c r="G7" i="17"/>
  <c r="E7" i="17"/>
  <c r="G6" i="17"/>
  <c r="E6" i="17"/>
  <c r="N5" i="17"/>
  <c r="G5" i="17"/>
  <c r="E3" i="17"/>
  <c r="K73" i="16"/>
  <c r="E71" i="16"/>
  <c r="E70" i="16"/>
  <c r="E69" i="16"/>
  <c r="E68" i="16"/>
  <c r="E73" i="16" s="1"/>
  <c r="H63" i="16"/>
  <c r="I63" i="16" s="1"/>
  <c r="K62" i="16"/>
  <c r="E60" i="16"/>
  <c r="E59" i="16"/>
  <c r="E58" i="16"/>
  <c r="E57" i="16"/>
  <c r="E62" i="16" s="1"/>
  <c r="N51" i="16"/>
  <c r="L51" i="16"/>
  <c r="K51" i="16"/>
  <c r="H13" i="16" s="1"/>
  <c r="H49" i="16"/>
  <c r="G49" i="16"/>
  <c r="I49" i="16" s="1"/>
  <c r="E49" i="16"/>
  <c r="H48" i="16"/>
  <c r="T24" i="16" s="1"/>
  <c r="G48" i="16"/>
  <c r="I48" i="16" s="1"/>
  <c r="E48" i="16"/>
  <c r="H47" i="16"/>
  <c r="G47" i="16"/>
  <c r="I47" i="16" s="1"/>
  <c r="E47" i="16"/>
  <c r="H46" i="16"/>
  <c r="T22" i="16" s="1"/>
  <c r="T41" i="16" s="1"/>
  <c r="I52" i="16" s="1"/>
  <c r="G46" i="16"/>
  <c r="E46" i="16"/>
  <c r="E51" i="16" s="1"/>
  <c r="N40" i="16"/>
  <c r="L40" i="16"/>
  <c r="K40" i="16"/>
  <c r="E40" i="16"/>
  <c r="K41" i="16" s="1"/>
  <c r="S38" i="16"/>
  <c r="Q38" i="16"/>
  <c r="H38" i="16"/>
  <c r="G38" i="16"/>
  <c r="I38" i="16" s="1"/>
  <c r="B38" i="16"/>
  <c r="C38" i="16" s="1"/>
  <c r="S37" i="16"/>
  <c r="Q37" i="16"/>
  <c r="H37" i="16"/>
  <c r="G37" i="16"/>
  <c r="I37" i="16" s="1"/>
  <c r="C37" i="16"/>
  <c r="S36" i="16"/>
  <c r="Q36" i="16"/>
  <c r="H36" i="16"/>
  <c r="G36" i="16"/>
  <c r="I36" i="16" s="1"/>
  <c r="F36" i="16"/>
  <c r="F37" i="16" s="1"/>
  <c r="F38" i="16" s="1"/>
  <c r="C36" i="16"/>
  <c r="S35" i="16"/>
  <c r="Q35" i="16"/>
  <c r="H35" i="16"/>
  <c r="G35" i="16"/>
  <c r="I35" i="16" s="1"/>
  <c r="B35" i="16"/>
  <c r="C35" i="16" s="1"/>
  <c r="S34" i="16"/>
  <c r="H34" i="16"/>
  <c r="G34" i="16"/>
  <c r="I34" i="16" s="1"/>
  <c r="Q34" i="16" s="1"/>
  <c r="B34" i="16"/>
  <c r="C34" i="16" s="1"/>
  <c r="S33" i="16"/>
  <c r="H33" i="16"/>
  <c r="G33" i="16"/>
  <c r="I33" i="16" s="1"/>
  <c r="Q33" i="16" s="1"/>
  <c r="B33" i="16"/>
  <c r="C33" i="16" s="1"/>
  <c r="S32" i="16"/>
  <c r="H32" i="16"/>
  <c r="G32" i="16"/>
  <c r="I32" i="16" s="1"/>
  <c r="Q32" i="16" s="1"/>
  <c r="B32" i="16"/>
  <c r="C32" i="16" s="1"/>
  <c r="S31" i="16"/>
  <c r="H31" i="16"/>
  <c r="G31" i="16"/>
  <c r="I31" i="16" s="1"/>
  <c r="Q31" i="16" s="1"/>
  <c r="B31" i="16"/>
  <c r="C31" i="16" s="1"/>
  <c r="S30" i="16"/>
  <c r="H30" i="16"/>
  <c r="G30" i="16"/>
  <c r="I30" i="16" s="1"/>
  <c r="Q30" i="16" s="1"/>
  <c r="B30" i="16"/>
  <c r="C30" i="16" s="1"/>
  <c r="S29" i="16"/>
  <c r="H29" i="16"/>
  <c r="G29" i="16"/>
  <c r="I29" i="16" s="1"/>
  <c r="Q29" i="16" s="1"/>
  <c r="B29" i="16"/>
  <c r="C29" i="16" s="1"/>
  <c r="S28" i="16"/>
  <c r="H28" i="16"/>
  <c r="G28" i="16"/>
  <c r="I28" i="16" s="1"/>
  <c r="Q28" i="16" s="1"/>
  <c r="B28" i="16"/>
  <c r="C28" i="16" s="1"/>
  <c r="S27" i="16"/>
  <c r="H27" i="16"/>
  <c r="G27" i="16"/>
  <c r="I27" i="16" s="1"/>
  <c r="Q27" i="16" s="1"/>
  <c r="B27" i="16"/>
  <c r="C27" i="16" s="1"/>
  <c r="S26" i="16"/>
  <c r="H26" i="16"/>
  <c r="G26" i="16"/>
  <c r="I26" i="16" s="1"/>
  <c r="Q26" i="16" s="1"/>
  <c r="B26" i="16"/>
  <c r="C26" i="16" s="1"/>
  <c r="T25" i="16"/>
  <c r="S25" i="16"/>
  <c r="H25" i="16"/>
  <c r="G25" i="16"/>
  <c r="I25" i="16" s="1"/>
  <c r="Q25" i="16" s="1"/>
  <c r="B25" i="16"/>
  <c r="C25" i="16" s="1"/>
  <c r="C39" i="16" s="1"/>
  <c r="S24" i="16"/>
  <c r="H24" i="16"/>
  <c r="G24" i="16"/>
  <c r="I24" i="16" s="1"/>
  <c r="Q24" i="16" s="1"/>
  <c r="B24" i="16"/>
  <c r="T23" i="16"/>
  <c r="S23" i="16"/>
  <c r="H23" i="16"/>
  <c r="G23" i="16"/>
  <c r="I23" i="16" s="1"/>
  <c r="Q23" i="16" s="1"/>
  <c r="B23" i="16"/>
  <c r="S22" i="16"/>
  <c r="H22" i="16"/>
  <c r="H40" i="16" s="1"/>
  <c r="G22" i="16"/>
  <c r="I22" i="16" s="1"/>
  <c r="B22" i="16"/>
  <c r="B40" i="16" s="1"/>
  <c r="H21" i="16"/>
  <c r="G21" i="16"/>
  <c r="I20" i="16"/>
  <c r="L13" i="16"/>
  <c r="J13" i="16"/>
  <c r="G13" i="16"/>
  <c r="H12" i="16"/>
  <c r="H14" i="16" s="1"/>
  <c r="G12" i="16"/>
  <c r="G14" i="16" s="1"/>
  <c r="J11" i="16"/>
  <c r="K15" i="16" s="1"/>
  <c r="I11" i="16"/>
  <c r="G11" i="16"/>
  <c r="F11" i="16"/>
  <c r="E11" i="16"/>
  <c r="N11" i="16" s="1"/>
  <c r="E8" i="16"/>
  <c r="G7" i="16"/>
  <c r="E7" i="16"/>
  <c r="G6" i="16"/>
  <c r="E6" i="16"/>
  <c r="N5" i="16"/>
  <c r="G5" i="16"/>
  <c r="E5" i="16"/>
  <c r="E3" i="16"/>
  <c r="K73" i="15"/>
  <c r="E71" i="15"/>
  <c r="E70" i="15"/>
  <c r="E69" i="15"/>
  <c r="E68" i="15"/>
  <c r="E73" i="15" s="1"/>
  <c r="H63" i="15"/>
  <c r="I63" i="15" s="1"/>
  <c r="K62" i="15"/>
  <c r="E60" i="15"/>
  <c r="E59" i="15"/>
  <c r="E58" i="15"/>
  <c r="E57" i="15"/>
  <c r="E62" i="15" s="1"/>
  <c r="N51" i="15"/>
  <c r="L51" i="15"/>
  <c r="K51" i="15"/>
  <c r="H13" i="15" s="1"/>
  <c r="H49" i="15"/>
  <c r="T25" i="15" s="1"/>
  <c r="G49" i="15"/>
  <c r="I49" i="15" s="1"/>
  <c r="E49" i="15"/>
  <c r="H48" i="15"/>
  <c r="G48" i="15"/>
  <c r="I48" i="15" s="1"/>
  <c r="E48" i="15"/>
  <c r="H47" i="15"/>
  <c r="T23" i="15" s="1"/>
  <c r="G47" i="15"/>
  <c r="I47" i="15" s="1"/>
  <c r="E47" i="15"/>
  <c r="E51" i="15" s="1"/>
  <c r="H46" i="15"/>
  <c r="H51" i="15" s="1"/>
  <c r="N52" i="15" s="1"/>
  <c r="G46" i="15"/>
  <c r="N40" i="15"/>
  <c r="L40" i="15"/>
  <c r="I13" i="15" s="1"/>
  <c r="K40" i="15"/>
  <c r="S38" i="15"/>
  <c r="H38" i="15"/>
  <c r="G38" i="15"/>
  <c r="I38" i="15" s="1"/>
  <c r="E38" i="15"/>
  <c r="Q38" i="15" s="1"/>
  <c r="B38" i="15"/>
  <c r="C38" i="15" s="1"/>
  <c r="S37" i="15"/>
  <c r="H37" i="15"/>
  <c r="G37" i="15"/>
  <c r="I37" i="15" s="1"/>
  <c r="E37" i="15"/>
  <c r="Q37" i="15" s="1"/>
  <c r="B37" i="15"/>
  <c r="C37" i="15" s="1"/>
  <c r="S36" i="15"/>
  <c r="H36" i="15"/>
  <c r="G36" i="15"/>
  <c r="I36" i="15" s="1"/>
  <c r="E36" i="15"/>
  <c r="Q36" i="15" s="1"/>
  <c r="B36" i="15"/>
  <c r="C36" i="15" s="1"/>
  <c r="S35" i="15"/>
  <c r="H35" i="15"/>
  <c r="G35" i="15"/>
  <c r="I35" i="15" s="1"/>
  <c r="E35" i="15"/>
  <c r="Q35" i="15" s="1"/>
  <c r="B35" i="15"/>
  <c r="C35" i="15" s="1"/>
  <c r="S34" i="15"/>
  <c r="H34" i="15"/>
  <c r="G34" i="15"/>
  <c r="I34" i="15" s="1"/>
  <c r="E34" i="15"/>
  <c r="Q34" i="15" s="1"/>
  <c r="B34" i="15"/>
  <c r="C34" i="15" s="1"/>
  <c r="S33" i="15"/>
  <c r="H33" i="15"/>
  <c r="G33" i="15"/>
  <c r="I33" i="15" s="1"/>
  <c r="E33" i="15"/>
  <c r="Q33" i="15" s="1"/>
  <c r="B33" i="15"/>
  <c r="C33" i="15" s="1"/>
  <c r="S32" i="15"/>
  <c r="H32" i="15"/>
  <c r="G32" i="15"/>
  <c r="I32" i="15" s="1"/>
  <c r="E32" i="15"/>
  <c r="Q32" i="15" s="1"/>
  <c r="B32" i="15"/>
  <c r="C32" i="15" s="1"/>
  <c r="S31" i="15"/>
  <c r="H31" i="15"/>
  <c r="G31" i="15"/>
  <c r="I31" i="15" s="1"/>
  <c r="E31" i="15"/>
  <c r="Q31" i="15" s="1"/>
  <c r="B31" i="15"/>
  <c r="C31" i="15" s="1"/>
  <c r="S30" i="15"/>
  <c r="H30" i="15"/>
  <c r="G30" i="15"/>
  <c r="I30" i="15" s="1"/>
  <c r="E30" i="15"/>
  <c r="Q30" i="15" s="1"/>
  <c r="B30" i="15"/>
  <c r="C30" i="15" s="1"/>
  <c r="S29" i="15"/>
  <c r="H29" i="15"/>
  <c r="H40" i="15" s="1"/>
  <c r="N41" i="15" s="1"/>
  <c r="G29" i="15"/>
  <c r="I29" i="15" s="1"/>
  <c r="E29" i="15"/>
  <c r="Q29" i="15" s="1"/>
  <c r="B29" i="15"/>
  <c r="C29" i="15" s="1"/>
  <c r="S28" i="15"/>
  <c r="Q28" i="15"/>
  <c r="I28" i="15"/>
  <c r="B28" i="15"/>
  <c r="C28" i="15" s="1"/>
  <c r="S27" i="15"/>
  <c r="G27" i="15"/>
  <c r="I27" i="15" s="1"/>
  <c r="E27" i="15"/>
  <c r="Q27" i="15" s="1"/>
  <c r="B27" i="15"/>
  <c r="C27" i="15" s="1"/>
  <c r="S26" i="15"/>
  <c r="G26" i="15"/>
  <c r="I26" i="15" s="1"/>
  <c r="E26" i="15"/>
  <c r="Q26" i="15" s="1"/>
  <c r="B26" i="15"/>
  <c r="C26" i="15" s="1"/>
  <c r="S25" i="15"/>
  <c r="G25" i="15"/>
  <c r="I25" i="15" s="1"/>
  <c r="E25" i="15"/>
  <c r="Q25" i="15" s="1"/>
  <c r="B25" i="15"/>
  <c r="C25" i="15" s="1"/>
  <c r="T24" i="15"/>
  <c r="S24" i="15"/>
  <c r="G24" i="15"/>
  <c r="I24" i="15" s="1"/>
  <c r="E24" i="15"/>
  <c r="Q24" i="15" s="1"/>
  <c r="B24" i="15"/>
  <c r="C24" i="15" s="1"/>
  <c r="S23" i="15"/>
  <c r="G23" i="15"/>
  <c r="I23" i="15" s="1"/>
  <c r="E23" i="15"/>
  <c r="Q23" i="15" s="1"/>
  <c r="B23" i="15"/>
  <c r="C23" i="15" s="1"/>
  <c r="T22" i="15"/>
  <c r="T41" i="15" s="1"/>
  <c r="I52" i="15" s="1"/>
  <c r="S22" i="15"/>
  <c r="G22" i="15"/>
  <c r="I22" i="15" s="1"/>
  <c r="I40" i="15" s="1"/>
  <c r="E22" i="15"/>
  <c r="F22" i="15" s="1"/>
  <c r="F23" i="15" s="1"/>
  <c r="F24" i="15" s="1"/>
  <c r="F25" i="15" s="1"/>
  <c r="F26" i="15" s="1"/>
  <c r="F27" i="15" s="1"/>
  <c r="B22" i="15"/>
  <c r="H21" i="15"/>
  <c r="G21" i="15"/>
  <c r="I21" i="15" s="1"/>
  <c r="I20" i="15"/>
  <c r="G15" i="15"/>
  <c r="B15" i="15"/>
  <c r="L13" i="15"/>
  <c r="J13" i="15"/>
  <c r="G13" i="15"/>
  <c r="L11" i="15"/>
  <c r="J11" i="15"/>
  <c r="I11" i="15"/>
  <c r="H11" i="15"/>
  <c r="G11" i="15"/>
  <c r="F11" i="15"/>
  <c r="E21" i="15" s="1"/>
  <c r="F12" i="15" s="1"/>
  <c r="E11" i="15"/>
  <c r="E8" i="15"/>
  <c r="G7" i="15"/>
  <c r="E7" i="15"/>
  <c r="G6" i="15"/>
  <c r="E6" i="15"/>
  <c r="N5" i="15"/>
  <c r="G5" i="15"/>
  <c r="E5" i="15"/>
  <c r="E3" i="15"/>
  <c r="K73" i="14"/>
  <c r="L13" i="14" s="1"/>
  <c r="E71" i="14"/>
  <c r="E70" i="14"/>
  <c r="E69" i="14"/>
  <c r="E68" i="14"/>
  <c r="E73" i="14" s="1"/>
  <c r="K74" i="14" s="1"/>
  <c r="H63" i="14"/>
  <c r="I63" i="14" s="1"/>
  <c r="K62" i="14"/>
  <c r="J13" i="14" s="1"/>
  <c r="E60" i="14"/>
  <c r="E59" i="14"/>
  <c r="E58" i="14"/>
  <c r="E57" i="14"/>
  <c r="E62" i="14" s="1"/>
  <c r="N51" i="14"/>
  <c r="L51" i="14"/>
  <c r="K51" i="14"/>
  <c r="H13" i="14" s="1"/>
  <c r="E51" i="14"/>
  <c r="K52" i="14" s="1"/>
  <c r="H49" i="14"/>
  <c r="T25" i="14" s="1"/>
  <c r="G49" i="14"/>
  <c r="H48" i="14"/>
  <c r="I48" i="14" s="1"/>
  <c r="H47" i="14"/>
  <c r="G47" i="14"/>
  <c r="I46" i="14"/>
  <c r="N40" i="14"/>
  <c r="L40" i="14"/>
  <c r="K40" i="14"/>
  <c r="G13" i="14" s="1"/>
  <c r="S38" i="14"/>
  <c r="H38" i="14"/>
  <c r="I38" i="14" s="1"/>
  <c r="E38" i="14"/>
  <c r="Q38" i="14" s="1"/>
  <c r="B38" i="14"/>
  <c r="C38" i="14" s="1"/>
  <c r="S37" i="14"/>
  <c r="H37" i="14"/>
  <c r="I37" i="14" s="1"/>
  <c r="E37" i="14"/>
  <c r="Q37" i="14" s="1"/>
  <c r="B37" i="14"/>
  <c r="C37" i="14" s="1"/>
  <c r="S36" i="14"/>
  <c r="H36" i="14"/>
  <c r="I36" i="14" s="1"/>
  <c r="E36" i="14"/>
  <c r="Q36" i="14" s="1"/>
  <c r="B36" i="14"/>
  <c r="C36" i="14" s="1"/>
  <c r="S35" i="14"/>
  <c r="H35" i="14"/>
  <c r="I35" i="14" s="1"/>
  <c r="E35" i="14"/>
  <c r="Q35" i="14" s="1"/>
  <c r="B35" i="14"/>
  <c r="C35" i="14" s="1"/>
  <c r="S34" i="14"/>
  <c r="H34" i="14"/>
  <c r="I34" i="14" s="1"/>
  <c r="E34" i="14"/>
  <c r="Q34" i="14" s="1"/>
  <c r="B34" i="14"/>
  <c r="C34" i="14" s="1"/>
  <c r="S33" i="14"/>
  <c r="H33" i="14"/>
  <c r="I33" i="14" s="1"/>
  <c r="E33" i="14"/>
  <c r="Q33" i="14" s="1"/>
  <c r="B33" i="14"/>
  <c r="C33" i="14" s="1"/>
  <c r="S32" i="14"/>
  <c r="H32" i="14"/>
  <c r="I32" i="14" s="1"/>
  <c r="E32" i="14"/>
  <c r="Q32" i="14" s="1"/>
  <c r="B32" i="14"/>
  <c r="C32" i="14" s="1"/>
  <c r="S31" i="14"/>
  <c r="H31" i="14"/>
  <c r="I31" i="14" s="1"/>
  <c r="E31" i="14"/>
  <c r="Q31" i="14" s="1"/>
  <c r="B31" i="14"/>
  <c r="C31" i="14" s="1"/>
  <c r="S30" i="14"/>
  <c r="H30" i="14"/>
  <c r="I30" i="14" s="1"/>
  <c r="E30" i="14"/>
  <c r="Q30" i="14" s="1"/>
  <c r="B30" i="14"/>
  <c r="C30" i="14" s="1"/>
  <c r="S29" i="14"/>
  <c r="H29" i="14"/>
  <c r="I29" i="14" s="1"/>
  <c r="E29" i="14"/>
  <c r="Q29" i="14" s="1"/>
  <c r="B29" i="14"/>
  <c r="C29" i="14" s="1"/>
  <c r="S28" i="14"/>
  <c r="H28" i="14"/>
  <c r="I28" i="14" s="1"/>
  <c r="E28" i="14"/>
  <c r="Q28" i="14" s="1"/>
  <c r="B28" i="14"/>
  <c r="C28" i="14" s="1"/>
  <c r="S27" i="14"/>
  <c r="H27" i="14"/>
  <c r="I27" i="14" s="1"/>
  <c r="E27" i="14"/>
  <c r="Q27" i="14" s="1"/>
  <c r="B27" i="14"/>
  <c r="C27" i="14" s="1"/>
  <c r="S26" i="14"/>
  <c r="H26" i="14"/>
  <c r="I26" i="14" s="1"/>
  <c r="E26" i="14"/>
  <c r="Q26" i="14" s="1"/>
  <c r="B26" i="14"/>
  <c r="C26" i="14" s="1"/>
  <c r="S25" i="14"/>
  <c r="H25" i="14"/>
  <c r="I25" i="14" s="1"/>
  <c r="E25" i="14"/>
  <c r="Q25" i="14" s="1"/>
  <c r="B25" i="14"/>
  <c r="C25" i="14" s="1"/>
  <c r="T24" i="14"/>
  <c r="S24" i="14"/>
  <c r="H24" i="14"/>
  <c r="I24" i="14" s="1"/>
  <c r="E24" i="14"/>
  <c r="Q24" i="14" s="1"/>
  <c r="B24" i="14"/>
  <c r="C24" i="14" s="1"/>
  <c r="S23" i="14"/>
  <c r="H23" i="14"/>
  <c r="I23" i="14" s="1"/>
  <c r="E23" i="14"/>
  <c r="Q23" i="14" s="1"/>
  <c r="B23" i="14"/>
  <c r="C23" i="14" s="1"/>
  <c r="S22" i="14"/>
  <c r="H22" i="14"/>
  <c r="I22" i="14" s="1"/>
  <c r="E22" i="14"/>
  <c r="B22" i="14"/>
  <c r="H21" i="14"/>
  <c r="H40" i="14" s="1"/>
  <c r="N41" i="14" s="1"/>
  <c r="G21" i="14"/>
  <c r="G40" i="14" s="1"/>
  <c r="I20" i="14"/>
  <c r="I15" i="14"/>
  <c r="G15" i="14"/>
  <c r="L12" i="14"/>
  <c r="J12" i="14"/>
  <c r="H12" i="14"/>
  <c r="H14" i="14" s="1"/>
  <c r="L11" i="14"/>
  <c r="J11" i="14"/>
  <c r="H11" i="14"/>
  <c r="G11" i="14"/>
  <c r="F11" i="14"/>
  <c r="E8" i="14"/>
  <c r="G7" i="14"/>
  <c r="E7" i="14"/>
  <c r="G6" i="14"/>
  <c r="E6" i="14"/>
  <c r="N5" i="14"/>
  <c r="G5" i="14"/>
  <c r="E5" i="14"/>
  <c r="E3" i="14"/>
  <c r="K73" i="13"/>
  <c r="E71" i="13"/>
  <c r="E70" i="13"/>
  <c r="E69" i="13"/>
  <c r="E68" i="13"/>
  <c r="E73" i="13" s="1"/>
  <c r="K74" i="13" s="1"/>
  <c r="H63" i="13"/>
  <c r="I63" i="13" s="1"/>
  <c r="K62" i="13"/>
  <c r="E60" i="13"/>
  <c r="E59" i="13"/>
  <c r="E57" i="13"/>
  <c r="E62" i="13" s="1"/>
  <c r="K63" i="13" s="1"/>
  <c r="N51" i="13"/>
  <c r="L51" i="13"/>
  <c r="K51" i="13"/>
  <c r="H49" i="13"/>
  <c r="G49" i="13"/>
  <c r="I49" i="13" s="1"/>
  <c r="E49" i="13"/>
  <c r="H48" i="13"/>
  <c r="G48" i="13"/>
  <c r="G51" i="13" s="1"/>
  <c r="L52" i="13" s="1"/>
  <c r="E48" i="13"/>
  <c r="E51" i="13" s="1"/>
  <c r="H47" i="13"/>
  <c r="I47" i="13" s="1"/>
  <c r="H46" i="13"/>
  <c r="N40" i="13"/>
  <c r="L40" i="13"/>
  <c r="K40" i="13"/>
  <c r="S38" i="13"/>
  <c r="H38" i="13"/>
  <c r="G38" i="13"/>
  <c r="I38" i="13" s="1"/>
  <c r="E38" i="13"/>
  <c r="Q38" i="13" s="1"/>
  <c r="B38" i="13"/>
  <c r="C38" i="13" s="1"/>
  <c r="S37" i="13"/>
  <c r="H37" i="13"/>
  <c r="G37" i="13"/>
  <c r="I37" i="13" s="1"/>
  <c r="E37" i="13"/>
  <c r="Q37" i="13" s="1"/>
  <c r="B37" i="13"/>
  <c r="C37" i="13" s="1"/>
  <c r="S36" i="13"/>
  <c r="H36" i="13"/>
  <c r="G36" i="13"/>
  <c r="I36" i="13" s="1"/>
  <c r="E36" i="13"/>
  <c r="Q36" i="13" s="1"/>
  <c r="B36" i="13"/>
  <c r="C36" i="13" s="1"/>
  <c r="S35" i="13"/>
  <c r="H35" i="13"/>
  <c r="G35" i="13"/>
  <c r="I35" i="13" s="1"/>
  <c r="E35" i="13"/>
  <c r="Q35" i="13" s="1"/>
  <c r="B35" i="13"/>
  <c r="C35" i="13" s="1"/>
  <c r="S34" i="13"/>
  <c r="H34" i="13"/>
  <c r="G34" i="13"/>
  <c r="I34" i="13" s="1"/>
  <c r="E34" i="13"/>
  <c r="Q34" i="13" s="1"/>
  <c r="B34" i="13"/>
  <c r="C34" i="13" s="1"/>
  <c r="S33" i="13"/>
  <c r="H33" i="13"/>
  <c r="G33" i="13"/>
  <c r="I33" i="13" s="1"/>
  <c r="E33" i="13"/>
  <c r="Q33" i="13" s="1"/>
  <c r="B33" i="13"/>
  <c r="C33" i="13" s="1"/>
  <c r="S32" i="13"/>
  <c r="H32" i="13"/>
  <c r="G32" i="13"/>
  <c r="I32" i="13" s="1"/>
  <c r="E32" i="13"/>
  <c r="Q32" i="13" s="1"/>
  <c r="B32" i="13"/>
  <c r="C32" i="13" s="1"/>
  <c r="S31" i="13"/>
  <c r="H31" i="13"/>
  <c r="G31" i="13"/>
  <c r="I31" i="13" s="1"/>
  <c r="E31" i="13"/>
  <c r="Q31" i="13" s="1"/>
  <c r="B31" i="13"/>
  <c r="C31" i="13" s="1"/>
  <c r="S30" i="13"/>
  <c r="H30" i="13"/>
  <c r="G30" i="13"/>
  <c r="I30" i="13" s="1"/>
  <c r="E30" i="13"/>
  <c r="Q30" i="13" s="1"/>
  <c r="B30" i="13"/>
  <c r="C30" i="13" s="1"/>
  <c r="S29" i="13"/>
  <c r="H29" i="13"/>
  <c r="G29" i="13"/>
  <c r="I29" i="13" s="1"/>
  <c r="E29" i="13"/>
  <c r="Q29" i="13" s="1"/>
  <c r="B29" i="13"/>
  <c r="C29" i="13" s="1"/>
  <c r="S28" i="13"/>
  <c r="H28" i="13"/>
  <c r="G28" i="13"/>
  <c r="I28" i="13" s="1"/>
  <c r="E28" i="13"/>
  <c r="Q28" i="13" s="1"/>
  <c r="B28" i="13"/>
  <c r="C28" i="13" s="1"/>
  <c r="S27" i="13"/>
  <c r="I27" i="13"/>
  <c r="E27" i="13"/>
  <c r="Q27" i="13" s="1"/>
  <c r="B27" i="13"/>
  <c r="C27" i="13" s="1"/>
  <c r="S26" i="13"/>
  <c r="I26" i="13"/>
  <c r="E26" i="13"/>
  <c r="Q26" i="13" s="1"/>
  <c r="B26" i="13"/>
  <c r="C26" i="13" s="1"/>
  <c r="T25" i="13"/>
  <c r="S25" i="13"/>
  <c r="G25" i="13"/>
  <c r="I25" i="13" s="1"/>
  <c r="E25" i="13"/>
  <c r="Q25" i="13" s="1"/>
  <c r="B25" i="13"/>
  <c r="C25" i="13" s="1"/>
  <c r="S24" i="13"/>
  <c r="G24" i="13"/>
  <c r="I24" i="13" s="1"/>
  <c r="E24" i="13"/>
  <c r="Q24" i="13" s="1"/>
  <c r="B24" i="13"/>
  <c r="C24" i="13" s="1"/>
  <c r="T23" i="13"/>
  <c r="S23" i="13"/>
  <c r="G23" i="13"/>
  <c r="I23" i="13" s="1"/>
  <c r="E23" i="13"/>
  <c r="Q23" i="13" s="1"/>
  <c r="B23" i="13"/>
  <c r="C23" i="13" s="1"/>
  <c r="S22" i="13"/>
  <c r="I22" i="13"/>
  <c r="E22" i="13"/>
  <c r="B22" i="13"/>
  <c r="H21" i="13"/>
  <c r="H40" i="13" s="1"/>
  <c r="N41" i="13" s="1"/>
  <c r="G21" i="13"/>
  <c r="I20" i="13"/>
  <c r="L13" i="13"/>
  <c r="J13" i="13"/>
  <c r="I13" i="13"/>
  <c r="H13" i="13"/>
  <c r="G13" i="13"/>
  <c r="L12" i="13"/>
  <c r="L14" i="13" s="1"/>
  <c r="J12" i="13"/>
  <c r="L11" i="13"/>
  <c r="E74" i="13" s="1"/>
  <c r="J11" i="13"/>
  <c r="I11" i="13"/>
  <c r="H11" i="13"/>
  <c r="G11" i="13"/>
  <c r="F11" i="13"/>
  <c r="E11" i="13"/>
  <c r="E8" i="13"/>
  <c r="G7" i="13"/>
  <c r="E7" i="13"/>
  <c r="G6" i="13"/>
  <c r="E6" i="13"/>
  <c r="N5" i="13"/>
  <c r="G5" i="13"/>
  <c r="E3" i="13"/>
  <c r="M73" i="12"/>
  <c r="G71" i="12"/>
  <c r="G70" i="12"/>
  <c r="G69" i="12"/>
  <c r="G68" i="12"/>
  <c r="G73" i="12" s="1"/>
  <c r="J63" i="12"/>
  <c r="K63" i="12" s="1"/>
  <c r="M62" i="12"/>
  <c r="G60" i="12"/>
  <c r="G59" i="12"/>
  <c r="G58" i="12"/>
  <c r="G57" i="12"/>
  <c r="G62" i="12" s="1"/>
  <c r="P51" i="12"/>
  <c r="N51" i="12"/>
  <c r="M51" i="12"/>
  <c r="J49" i="12"/>
  <c r="I49" i="12"/>
  <c r="K49" i="12" s="1"/>
  <c r="G49" i="12"/>
  <c r="J48" i="12"/>
  <c r="I48" i="12"/>
  <c r="G48" i="12"/>
  <c r="J47" i="12"/>
  <c r="I47" i="12"/>
  <c r="G47" i="12"/>
  <c r="J46" i="12"/>
  <c r="J51" i="12" s="1"/>
  <c r="I46" i="12"/>
  <c r="I51" i="12" s="1"/>
  <c r="N52" i="12" s="1"/>
  <c r="G46" i="12"/>
  <c r="G51" i="12" s="1"/>
  <c r="P40" i="12"/>
  <c r="N40" i="12"/>
  <c r="M40" i="12"/>
  <c r="U38" i="12"/>
  <c r="J38" i="12"/>
  <c r="I38" i="12"/>
  <c r="K38" i="12" s="1"/>
  <c r="G38" i="12"/>
  <c r="S38" i="12" s="1"/>
  <c r="D38" i="12"/>
  <c r="E38" i="12" s="1"/>
  <c r="U37" i="12"/>
  <c r="J37" i="12"/>
  <c r="I37" i="12"/>
  <c r="K37" i="12" s="1"/>
  <c r="G37" i="12"/>
  <c r="S37" i="12" s="1"/>
  <c r="D37" i="12"/>
  <c r="E37" i="12" s="1"/>
  <c r="U36" i="12"/>
  <c r="J36" i="12"/>
  <c r="I36" i="12"/>
  <c r="K36" i="12" s="1"/>
  <c r="G36" i="12"/>
  <c r="S36" i="12" s="1"/>
  <c r="D36" i="12"/>
  <c r="E36" i="12" s="1"/>
  <c r="U35" i="12"/>
  <c r="J35" i="12"/>
  <c r="I35" i="12"/>
  <c r="K35" i="12" s="1"/>
  <c r="G35" i="12"/>
  <c r="S35" i="12" s="1"/>
  <c r="D35" i="12"/>
  <c r="E35" i="12" s="1"/>
  <c r="U34" i="12"/>
  <c r="J34" i="12"/>
  <c r="I34" i="12"/>
  <c r="K34" i="12" s="1"/>
  <c r="G34" i="12"/>
  <c r="S34" i="12" s="1"/>
  <c r="D34" i="12"/>
  <c r="E34" i="12" s="1"/>
  <c r="U33" i="12"/>
  <c r="J33" i="12"/>
  <c r="I33" i="12"/>
  <c r="K33" i="12" s="1"/>
  <c r="G33" i="12"/>
  <c r="S33" i="12" s="1"/>
  <c r="D33" i="12"/>
  <c r="E33" i="12" s="1"/>
  <c r="U32" i="12"/>
  <c r="J32" i="12"/>
  <c r="I32" i="12"/>
  <c r="K32" i="12" s="1"/>
  <c r="G32" i="12"/>
  <c r="S32" i="12" s="1"/>
  <c r="D32" i="12"/>
  <c r="E32" i="12" s="1"/>
  <c r="U31" i="12"/>
  <c r="J31" i="12"/>
  <c r="K31" i="12" s="1"/>
  <c r="S31" i="12" s="1"/>
  <c r="D31" i="12"/>
  <c r="E31" i="12" s="1"/>
  <c r="U30" i="12"/>
  <c r="J30" i="12"/>
  <c r="K30" i="12" s="1"/>
  <c r="S30" i="12" s="1"/>
  <c r="D30" i="12"/>
  <c r="A30" i="12"/>
  <c r="U29" i="12"/>
  <c r="J29" i="12"/>
  <c r="K29" i="12" s="1"/>
  <c r="S29" i="12" s="1"/>
  <c r="D29" i="12"/>
  <c r="U28" i="12"/>
  <c r="J28" i="12"/>
  <c r="K28" i="12" s="1"/>
  <c r="S28" i="12" s="1"/>
  <c r="D28" i="12"/>
  <c r="E28" i="12" s="1"/>
  <c r="B28" i="12"/>
  <c r="A28" i="12"/>
  <c r="U27" i="12"/>
  <c r="J27" i="12"/>
  <c r="I27" i="12"/>
  <c r="K27" i="12" s="1"/>
  <c r="G27" i="12"/>
  <c r="U26" i="12"/>
  <c r="J26" i="12"/>
  <c r="I26" i="12"/>
  <c r="K26" i="12" s="1"/>
  <c r="G26" i="12"/>
  <c r="V25" i="12"/>
  <c r="U25" i="12"/>
  <c r="J25" i="12"/>
  <c r="I25" i="12"/>
  <c r="K25" i="12" s="1"/>
  <c r="G25" i="12"/>
  <c r="S25" i="12" s="1"/>
  <c r="U24" i="12"/>
  <c r="J24" i="12"/>
  <c r="I24" i="12"/>
  <c r="K24" i="12" s="1"/>
  <c r="G24" i="12"/>
  <c r="V23" i="12"/>
  <c r="U23" i="12"/>
  <c r="J23" i="12"/>
  <c r="I23" i="12"/>
  <c r="K23" i="12" s="1"/>
  <c r="G23" i="12"/>
  <c r="V22" i="12"/>
  <c r="V41" i="12" s="1"/>
  <c r="K52" i="12" s="1"/>
  <c r="U22" i="12"/>
  <c r="J22" i="12"/>
  <c r="I22" i="12"/>
  <c r="K22" i="12" s="1"/>
  <c r="G22" i="12"/>
  <c r="J21" i="12"/>
  <c r="J40" i="12" s="1"/>
  <c r="P41" i="12" s="1"/>
  <c r="I21" i="12"/>
  <c r="K20" i="12"/>
  <c r="N13" i="12"/>
  <c r="L13" i="12"/>
  <c r="J13" i="12"/>
  <c r="I13" i="12"/>
  <c r="N11" i="12"/>
  <c r="L11" i="12"/>
  <c r="K11" i="12"/>
  <c r="J11" i="12"/>
  <c r="G52" i="12" s="1"/>
  <c r="I11" i="12"/>
  <c r="H11" i="12"/>
  <c r="G21" i="12" s="1"/>
  <c r="H12" i="12" s="1"/>
  <c r="H13" i="12" s="1"/>
  <c r="G11" i="12"/>
  <c r="G8" i="12"/>
  <c r="I7" i="12"/>
  <c r="G7" i="12"/>
  <c r="I6" i="12"/>
  <c r="G6" i="12"/>
  <c r="P5" i="12"/>
  <c r="I5" i="12"/>
  <c r="G5" i="12"/>
  <c r="G3" i="12"/>
  <c r="K73" i="11"/>
  <c r="E71" i="11"/>
  <c r="E70" i="11"/>
  <c r="E69" i="11"/>
  <c r="E68" i="11"/>
  <c r="E73" i="11" s="1"/>
  <c r="K74" i="11" s="1"/>
  <c r="H63" i="11"/>
  <c r="I63" i="11" s="1"/>
  <c r="K62" i="11"/>
  <c r="E60" i="11"/>
  <c r="E59" i="11"/>
  <c r="E58" i="11"/>
  <c r="E57" i="11"/>
  <c r="E62" i="11" s="1"/>
  <c r="N51" i="11"/>
  <c r="L51" i="11"/>
  <c r="K51" i="11"/>
  <c r="H13" i="11" s="1"/>
  <c r="H49" i="11"/>
  <c r="G49" i="11"/>
  <c r="I49" i="11" s="1"/>
  <c r="E49" i="11"/>
  <c r="H48" i="11"/>
  <c r="G48" i="11"/>
  <c r="E48" i="11"/>
  <c r="H47" i="11"/>
  <c r="T23" i="11" s="1"/>
  <c r="G47" i="11"/>
  <c r="E47" i="11"/>
  <c r="H46" i="11"/>
  <c r="H51" i="11" s="1"/>
  <c r="N52" i="11" s="1"/>
  <c r="G46" i="11"/>
  <c r="E46" i="11"/>
  <c r="E51" i="11" s="1"/>
  <c r="K52" i="11" s="1"/>
  <c r="N40" i="11"/>
  <c r="L40" i="11"/>
  <c r="K40" i="11"/>
  <c r="S38" i="11"/>
  <c r="H38" i="11"/>
  <c r="G38" i="11"/>
  <c r="I38" i="11" s="1"/>
  <c r="E38" i="11"/>
  <c r="Q38" i="11" s="1"/>
  <c r="B38" i="11"/>
  <c r="C38" i="11" s="1"/>
  <c r="S37" i="11"/>
  <c r="H37" i="11"/>
  <c r="G37" i="11"/>
  <c r="I37" i="11" s="1"/>
  <c r="E37" i="11"/>
  <c r="Q37" i="11" s="1"/>
  <c r="B37" i="11"/>
  <c r="C37" i="11" s="1"/>
  <c r="S36" i="11"/>
  <c r="H36" i="11"/>
  <c r="G36" i="11"/>
  <c r="I36" i="11" s="1"/>
  <c r="E36" i="11"/>
  <c r="Q36" i="11" s="1"/>
  <c r="B36" i="11"/>
  <c r="C36" i="11" s="1"/>
  <c r="S35" i="11"/>
  <c r="H35" i="11"/>
  <c r="G35" i="11"/>
  <c r="I35" i="11" s="1"/>
  <c r="E35" i="11"/>
  <c r="Q35" i="11" s="1"/>
  <c r="B35" i="11"/>
  <c r="C35" i="11" s="1"/>
  <c r="S34" i="11"/>
  <c r="H34" i="11"/>
  <c r="G34" i="11"/>
  <c r="I34" i="11" s="1"/>
  <c r="E34" i="11"/>
  <c r="Q34" i="11" s="1"/>
  <c r="B34" i="11"/>
  <c r="C34" i="11" s="1"/>
  <c r="S33" i="11"/>
  <c r="H33" i="11"/>
  <c r="G33" i="11"/>
  <c r="I33" i="11" s="1"/>
  <c r="E33" i="11"/>
  <c r="Q33" i="11" s="1"/>
  <c r="B33" i="11"/>
  <c r="C33" i="11" s="1"/>
  <c r="S32" i="11"/>
  <c r="H32" i="11"/>
  <c r="G32" i="11"/>
  <c r="I32" i="11" s="1"/>
  <c r="E32" i="11"/>
  <c r="Q32" i="11" s="1"/>
  <c r="B32" i="11"/>
  <c r="C32" i="11" s="1"/>
  <c r="S31" i="11"/>
  <c r="H31" i="11"/>
  <c r="G31" i="11"/>
  <c r="I31" i="11" s="1"/>
  <c r="E31" i="11"/>
  <c r="Q31" i="11" s="1"/>
  <c r="B31" i="11"/>
  <c r="C31" i="11" s="1"/>
  <c r="S30" i="11"/>
  <c r="H30" i="11"/>
  <c r="G30" i="11"/>
  <c r="I30" i="11" s="1"/>
  <c r="E30" i="11"/>
  <c r="Q30" i="11" s="1"/>
  <c r="B30" i="11"/>
  <c r="C30" i="11" s="1"/>
  <c r="S29" i="11"/>
  <c r="H29" i="11"/>
  <c r="G29" i="11"/>
  <c r="I29" i="11" s="1"/>
  <c r="E29" i="11"/>
  <c r="Q29" i="11" s="1"/>
  <c r="B29" i="11"/>
  <c r="C29" i="11" s="1"/>
  <c r="S28" i="11"/>
  <c r="H28" i="11"/>
  <c r="G28" i="11"/>
  <c r="I28" i="11" s="1"/>
  <c r="E28" i="11"/>
  <c r="Q28" i="11" s="1"/>
  <c r="B28" i="11"/>
  <c r="C28" i="11" s="1"/>
  <c r="S27" i="11"/>
  <c r="H27" i="11"/>
  <c r="G27" i="11"/>
  <c r="I27" i="11" s="1"/>
  <c r="E27" i="11"/>
  <c r="Q27" i="11" s="1"/>
  <c r="B27" i="11"/>
  <c r="C27" i="11" s="1"/>
  <c r="S26" i="11"/>
  <c r="H26" i="11"/>
  <c r="G26" i="11"/>
  <c r="I26" i="11" s="1"/>
  <c r="E26" i="11"/>
  <c r="Q26" i="11" s="1"/>
  <c r="B26" i="11"/>
  <c r="C26" i="11" s="1"/>
  <c r="T25" i="11"/>
  <c r="S25" i="11"/>
  <c r="H25" i="11"/>
  <c r="G25" i="11"/>
  <c r="I25" i="11" s="1"/>
  <c r="E25" i="11"/>
  <c r="Q25" i="11" s="1"/>
  <c r="B25" i="11"/>
  <c r="C25" i="11" s="1"/>
  <c r="T24" i="11"/>
  <c r="S24" i="11"/>
  <c r="H24" i="11"/>
  <c r="G24" i="11"/>
  <c r="I24" i="11" s="1"/>
  <c r="E24" i="11"/>
  <c r="B24" i="11"/>
  <c r="S23" i="11"/>
  <c r="H23" i="11"/>
  <c r="G23" i="11"/>
  <c r="I23" i="11" s="1"/>
  <c r="Q23" i="11" s="1"/>
  <c r="C23" i="11"/>
  <c r="T22" i="11"/>
  <c r="T41" i="11" s="1"/>
  <c r="I52" i="11" s="1"/>
  <c r="S22" i="11"/>
  <c r="H22" i="11"/>
  <c r="G22" i="11"/>
  <c r="I22" i="11" s="1"/>
  <c r="Q22" i="11" s="1"/>
  <c r="Q39" i="11" s="1"/>
  <c r="F22" i="11"/>
  <c r="C22" i="11"/>
  <c r="H21" i="11"/>
  <c r="H40" i="11" s="1"/>
  <c r="N41" i="11" s="1"/>
  <c r="G21" i="11"/>
  <c r="I20" i="11"/>
  <c r="L13" i="11"/>
  <c r="J13" i="11"/>
  <c r="I13" i="11"/>
  <c r="G13" i="11"/>
  <c r="H12" i="11"/>
  <c r="L11" i="11"/>
  <c r="E74" i="11" s="1"/>
  <c r="J11" i="11"/>
  <c r="E63" i="11" s="1"/>
  <c r="I11" i="11"/>
  <c r="H11" i="11"/>
  <c r="G11" i="11"/>
  <c r="F11" i="11"/>
  <c r="E11" i="11"/>
  <c r="E8" i="11"/>
  <c r="G8" i="11" s="1"/>
  <c r="G6" i="11"/>
  <c r="E6" i="11"/>
  <c r="N5" i="11"/>
  <c r="G5" i="11"/>
  <c r="E3" i="11"/>
  <c r="L85" i="10"/>
  <c r="F83" i="10"/>
  <c r="F82" i="10"/>
  <c r="F85" i="10" s="1"/>
  <c r="L74" i="10"/>
  <c r="F72" i="10"/>
  <c r="F71" i="10"/>
  <c r="F70" i="10"/>
  <c r="F69" i="10"/>
  <c r="F74" i="10" s="1"/>
  <c r="I64" i="10"/>
  <c r="J64" i="10" s="1"/>
  <c r="L63" i="10"/>
  <c r="F61" i="10"/>
  <c r="F60" i="10"/>
  <c r="F59" i="10"/>
  <c r="F58" i="10"/>
  <c r="F63" i="10" s="1"/>
  <c r="O52" i="10"/>
  <c r="M52" i="10"/>
  <c r="L52" i="10"/>
  <c r="I50" i="10"/>
  <c r="H50" i="10"/>
  <c r="F50" i="10"/>
  <c r="I49" i="10"/>
  <c r="U24" i="10" s="1"/>
  <c r="H49" i="10"/>
  <c r="F49" i="10"/>
  <c r="I48" i="10"/>
  <c r="H48" i="10"/>
  <c r="J48" i="10" s="1"/>
  <c r="I47" i="10"/>
  <c r="I52" i="10" s="1"/>
  <c r="H47" i="10"/>
  <c r="H52" i="10" s="1"/>
  <c r="M53" i="10" s="1"/>
  <c r="F47" i="10"/>
  <c r="F52" i="10" s="1"/>
  <c r="L53" i="10" s="1"/>
  <c r="O41" i="10"/>
  <c r="M41" i="10"/>
  <c r="L41" i="10"/>
  <c r="I41" i="10"/>
  <c r="O42" i="10" s="1"/>
  <c r="T39" i="10"/>
  <c r="J39" i="10"/>
  <c r="R39" i="10" s="1"/>
  <c r="D39" i="10"/>
  <c r="A39" i="10"/>
  <c r="T38" i="10"/>
  <c r="J38" i="10"/>
  <c r="R38" i="10" s="1"/>
  <c r="D38" i="10"/>
  <c r="A38" i="10"/>
  <c r="T37" i="10"/>
  <c r="J37" i="10"/>
  <c r="R37" i="10" s="1"/>
  <c r="D37" i="10"/>
  <c r="A37" i="10"/>
  <c r="T36" i="10"/>
  <c r="J36" i="10"/>
  <c r="R36" i="10" s="1"/>
  <c r="D36" i="10"/>
  <c r="A36" i="10"/>
  <c r="AD35" i="10"/>
  <c r="AC35" i="10"/>
  <c r="T35" i="10"/>
  <c r="J35" i="10"/>
  <c r="R35" i="10" s="1"/>
  <c r="D35" i="10"/>
  <c r="A35" i="10"/>
  <c r="T34" i="10"/>
  <c r="J34" i="10"/>
  <c r="R34" i="10" s="1"/>
  <c r="D34" i="10"/>
  <c r="A34" i="10"/>
  <c r="T33" i="10"/>
  <c r="R33" i="10"/>
  <c r="J33" i="10"/>
  <c r="D33" i="10"/>
  <c r="A33" i="10"/>
  <c r="T32" i="10"/>
  <c r="H32" i="10"/>
  <c r="J32" i="10" s="1"/>
  <c r="AD32" i="10" s="1"/>
  <c r="F32" i="10"/>
  <c r="D32" i="10"/>
  <c r="T31" i="10"/>
  <c r="H31" i="10"/>
  <c r="J31" i="10" s="1"/>
  <c r="AD31" i="10" s="1"/>
  <c r="F31" i="10"/>
  <c r="R31" i="10" s="1"/>
  <c r="D31" i="10"/>
  <c r="A31" i="10"/>
  <c r="T30" i="10"/>
  <c r="H30" i="10"/>
  <c r="J30" i="10" s="1"/>
  <c r="AD30" i="10" s="1"/>
  <c r="F30" i="10"/>
  <c r="R30" i="10" s="1"/>
  <c r="C30" i="10"/>
  <c r="D30" i="10" s="1"/>
  <c r="T29" i="10"/>
  <c r="H29" i="10"/>
  <c r="J29" i="10" s="1"/>
  <c r="AD29" i="10" s="1"/>
  <c r="F29" i="10"/>
  <c r="R29" i="10" s="1"/>
  <c r="C29" i="10"/>
  <c r="D29" i="10" s="1"/>
  <c r="T28" i="10"/>
  <c r="H28" i="10"/>
  <c r="F28" i="10"/>
  <c r="C28" i="10"/>
  <c r="D28" i="10" s="1"/>
  <c r="T27" i="10"/>
  <c r="H27" i="10"/>
  <c r="J27" i="10" s="1"/>
  <c r="F27" i="10"/>
  <c r="R27" i="10" s="1"/>
  <c r="C27" i="10"/>
  <c r="D27" i="10" s="1"/>
  <c r="A27" i="10"/>
  <c r="T26" i="10"/>
  <c r="J26" i="10"/>
  <c r="F26" i="10"/>
  <c r="R26" i="10" s="1"/>
  <c r="C26" i="10"/>
  <c r="D26" i="10" s="1"/>
  <c r="T25" i="10"/>
  <c r="J25" i="10"/>
  <c r="F25" i="10"/>
  <c r="R25" i="10" s="1"/>
  <c r="C25" i="10"/>
  <c r="T24" i="10"/>
  <c r="J24" i="10"/>
  <c r="F24" i="10"/>
  <c r="R24" i="10" s="1"/>
  <c r="C24" i="10"/>
  <c r="D24" i="10" s="1"/>
  <c r="A24" i="10"/>
  <c r="U23" i="10"/>
  <c r="T23" i="10"/>
  <c r="J23" i="10"/>
  <c r="F23" i="10"/>
  <c r="R23" i="10" s="1"/>
  <c r="C23" i="10"/>
  <c r="D23" i="10" s="1"/>
  <c r="U22" i="10"/>
  <c r="U42" i="10" s="1"/>
  <c r="J53" i="10" s="1"/>
  <c r="T22" i="10"/>
  <c r="J22" i="10"/>
  <c r="J41" i="10" s="1"/>
  <c r="F22" i="10"/>
  <c r="C22" i="10"/>
  <c r="D22" i="10" s="1"/>
  <c r="D40" i="10" s="1"/>
  <c r="I21" i="10"/>
  <c r="H21" i="10"/>
  <c r="J20" i="10"/>
  <c r="M13" i="10"/>
  <c r="K13" i="10"/>
  <c r="I13" i="10"/>
  <c r="H13" i="10"/>
  <c r="M11" i="10"/>
  <c r="F75" i="10" s="1"/>
  <c r="K11" i="10"/>
  <c r="F64" i="10" s="1"/>
  <c r="I11" i="10"/>
  <c r="F53" i="10" s="1"/>
  <c r="H11" i="10"/>
  <c r="O11" i="10" s="1"/>
  <c r="G11" i="10"/>
  <c r="F21" i="10" s="1"/>
  <c r="G12" i="10" s="1"/>
  <c r="G15" i="10" s="1"/>
  <c r="F11" i="10"/>
  <c r="F20" i="10" s="1"/>
  <c r="F12" i="10" s="1"/>
  <c r="F8" i="10"/>
  <c r="H7" i="10"/>
  <c r="F7" i="10"/>
  <c r="H6" i="10"/>
  <c r="F6" i="10"/>
  <c r="O5" i="10"/>
  <c r="H5" i="10"/>
  <c r="F3" i="10"/>
  <c r="K73" i="9"/>
  <c r="E71" i="9"/>
  <c r="E70" i="9"/>
  <c r="E69" i="9"/>
  <c r="E68" i="9"/>
  <c r="E73" i="9" s="1"/>
  <c r="K74" i="9" s="1"/>
  <c r="H63" i="9"/>
  <c r="I63" i="9" s="1"/>
  <c r="K62" i="9"/>
  <c r="E60" i="9"/>
  <c r="E59" i="9"/>
  <c r="E58" i="9"/>
  <c r="E57" i="9"/>
  <c r="E62" i="9" s="1"/>
  <c r="N51" i="9"/>
  <c r="L51" i="9"/>
  <c r="K51" i="9"/>
  <c r="H49" i="9"/>
  <c r="G49" i="9"/>
  <c r="E49" i="9"/>
  <c r="H48" i="9"/>
  <c r="G48" i="9"/>
  <c r="I48" i="9" s="1"/>
  <c r="E48" i="9"/>
  <c r="H47" i="9"/>
  <c r="G47" i="9"/>
  <c r="E47" i="9"/>
  <c r="H46" i="9"/>
  <c r="G46" i="9"/>
  <c r="G51" i="9" s="1"/>
  <c r="L52" i="9" s="1"/>
  <c r="E46" i="9"/>
  <c r="E51" i="9" s="1"/>
  <c r="N40" i="9"/>
  <c r="L40" i="9"/>
  <c r="I13" i="9" s="1"/>
  <c r="K40" i="9"/>
  <c r="S38" i="9"/>
  <c r="H38" i="9"/>
  <c r="G38" i="9"/>
  <c r="I38" i="9" s="1"/>
  <c r="E38" i="9"/>
  <c r="Q38" i="9" s="1"/>
  <c r="B38" i="9"/>
  <c r="C38" i="9" s="1"/>
  <c r="S37" i="9"/>
  <c r="H37" i="9"/>
  <c r="G37" i="9"/>
  <c r="I37" i="9" s="1"/>
  <c r="E37" i="9"/>
  <c r="Q37" i="9" s="1"/>
  <c r="B37" i="9"/>
  <c r="C37" i="9" s="1"/>
  <c r="S36" i="9"/>
  <c r="H36" i="9"/>
  <c r="G36" i="9"/>
  <c r="I36" i="9" s="1"/>
  <c r="E36" i="9"/>
  <c r="Q36" i="9" s="1"/>
  <c r="B36" i="9"/>
  <c r="C36" i="9" s="1"/>
  <c r="S35" i="9"/>
  <c r="H35" i="9"/>
  <c r="G35" i="9"/>
  <c r="I35" i="9" s="1"/>
  <c r="E35" i="9"/>
  <c r="Q35" i="9" s="1"/>
  <c r="B35" i="9"/>
  <c r="C35" i="9" s="1"/>
  <c r="S34" i="9"/>
  <c r="H34" i="9"/>
  <c r="G34" i="9"/>
  <c r="I34" i="9" s="1"/>
  <c r="E34" i="9"/>
  <c r="Q34" i="9" s="1"/>
  <c r="B34" i="9"/>
  <c r="C34" i="9" s="1"/>
  <c r="S33" i="9"/>
  <c r="H33" i="9"/>
  <c r="G33" i="9"/>
  <c r="I33" i="9" s="1"/>
  <c r="E33" i="9"/>
  <c r="Q33" i="9" s="1"/>
  <c r="B33" i="9"/>
  <c r="C33" i="9" s="1"/>
  <c r="S32" i="9"/>
  <c r="H32" i="9"/>
  <c r="G32" i="9"/>
  <c r="I32" i="9" s="1"/>
  <c r="E32" i="9"/>
  <c r="Q32" i="9" s="1"/>
  <c r="B32" i="9"/>
  <c r="C32" i="9" s="1"/>
  <c r="S31" i="9"/>
  <c r="H31" i="9"/>
  <c r="G31" i="9"/>
  <c r="I31" i="9" s="1"/>
  <c r="E31" i="9"/>
  <c r="Q31" i="9" s="1"/>
  <c r="B31" i="9"/>
  <c r="C31" i="9" s="1"/>
  <c r="S30" i="9"/>
  <c r="H30" i="9"/>
  <c r="G30" i="9"/>
  <c r="I30" i="9" s="1"/>
  <c r="E30" i="9"/>
  <c r="Q30" i="9" s="1"/>
  <c r="B30" i="9"/>
  <c r="C30" i="9" s="1"/>
  <c r="S29" i="9"/>
  <c r="H29" i="9"/>
  <c r="G29" i="9"/>
  <c r="I29" i="9" s="1"/>
  <c r="E29" i="9"/>
  <c r="Q29" i="9" s="1"/>
  <c r="B29" i="9"/>
  <c r="C29" i="9" s="1"/>
  <c r="S28" i="9"/>
  <c r="H28" i="9"/>
  <c r="G28" i="9"/>
  <c r="I28" i="9" s="1"/>
  <c r="E28" i="9"/>
  <c r="Q28" i="9" s="1"/>
  <c r="B28" i="9"/>
  <c r="C28" i="9" s="1"/>
  <c r="S27" i="9"/>
  <c r="H27" i="9"/>
  <c r="G27" i="9"/>
  <c r="I27" i="9" s="1"/>
  <c r="E27" i="9"/>
  <c r="Q27" i="9" s="1"/>
  <c r="B27" i="9"/>
  <c r="C27" i="9" s="1"/>
  <c r="S26" i="9"/>
  <c r="H26" i="9"/>
  <c r="G26" i="9"/>
  <c r="I26" i="9" s="1"/>
  <c r="E26" i="9"/>
  <c r="B26" i="9"/>
  <c r="C26" i="9" s="1"/>
  <c r="S25" i="9"/>
  <c r="H25" i="9"/>
  <c r="G25" i="9"/>
  <c r="I25" i="9" s="1"/>
  <c r="Q25" i="9" s="1"/>
  <c r="C25" i="9"/>
  <c r="T24" i="9"/>
  <c r="S24" i="9"/>
  <c r="H24" i="9"/>
  <c r="G24" i="9"/>
  <c r="I24" i="9" s="1"/>
  <c r="Q24" i="9" s="1"/>
  <c r="C24" i="9"/>
  <c r="C39" i="9" s="1"/>
  <c r="T23" i="9"/>
  <c r="S23" i="9"/>
  <c r="H23" i="9"/>
  <c r="G23" i="9"/>
  <c r="I23" i="9" s="1"/>
  <c r="Q23" i="9" s="1"/>
  <c r="C23" i="9"/>
  <c r="S22" i="9"/>
  <c r="S41" i="9" s="1"/>
  <c r="H22" i="9"/>
  <c r="G22" i="9"/>
  <c r="I22" i="9" s="1"/>
  <c r="Q22" i="9" s="1"/>
  <c r="Q39" i="9" s="1"/>
  <c r="F22" i="9"/>
  <c r="B22" i="9"/>
  <c r="H21" i="9"/>
  <c r="H40" i="9" s="1"/>
  <c r="N41" i="9" s="1"/>
  <c r="G21" i="9"/>
  <c r="G40" i="9" s="1"/>
  <c r="L41" i="9" s="1"/>
  <c r="I20" i="9"/>
  <c r="L13" i="9"/>
  <c r="J13" i="9"/>
  <c r="H13" i="9"/>
  <c r="G13" i="9"/>
  <c r="L12" i="9"/>
  <c r="L11" i="9"/>
  <c r="J11" i="9"/>
  <c r="I11" i="9"/>
  <c r="H11" i="9"/>
  <c r="G11" i="9"/>
  <c r="F11" i="9"/>
  <c r="E21" i="9" s="1"/>
  <c r="F12" i="9" s="1"/>
  <c r="E11" i="9"/>
  <c r="E20" i="9" s="1"/>
  <c r="E12" i="9" s="1"/>
  <c r="E13" i="9" s="1"/>
  <c r="E8" i="9"/>
  <c r="G8" i="9" s="1"/>
  <c r="G6" i="9"/>
  <c r="E6" i="9"/>
  <c r="N5" i="9"/>
  <c r="G5" i="9"/>
  <c r="E3" i="9"/>
  <c r="K73" i="8"/>
  <c r="E71" i="8"/>
  <c r="E70" i="8"/>
  <c r="E69" i="8"/>
  <c r="E68" i="8"/>
  <c r="E73" i="8" s="1"/>
  <c r="H63" i="8"/>
  <c r="I63" i="8" s="1"/>
  <c r="K62" i="8"/>
  <c r="E60" i="8"/>
  <c r="E59" i="8"/>
  <c r="E58" i="8"/>
  <c r="E57" i="8"/>
  <c r="E62" i="8" s="1"/>
  <c r="N51" i="8"/>
  <c r="L51" i="8"/>
  <c r="K51" i="8"/>
  <c r="H49" i="8"/>
  <c r="G49" i="8"/>
  <c r="E49" i="8"/>
  <c r="H48" i="8"/>
  <c r="G48" i="8"/>
  <c r="I48" i="8" s="1"/>
  <c r="E48" i="8"/>
  <c r="H47" i="8"/>
  <c r="G47" i="8"/>
  <c r="I47" i="8" s="1"/>
  <c r="E47" i="8"/>
  <c r="H46" i="8"/>
  <c r="G46" i="8"/>
  <c r="G51" i="8" s="1"/>
  <c r="L52" i="8" s="1"/>
  <c r="E46" i="8"/>
  <c r="E51" i="8" s="1"/>
  <c r="N40" i="8"/>
  <c r="L40" i="8"/>
  <c r="I13" i="8" s="1"/>
  <c r="K40" i="8"/>
  <c r="H38" i="8"/>
  <c r="G38" i="8"/>
  <c r="I38" i="8" s="1"/>
  <c r="E38" i="8"/>
  <c r="B38" i="8"/>
  <c r="C38" i="8" s="1"/>
  <c r="H37" i="8"/>
  <c r="G37" i="8"/>
  <c r="I37" i="8" s="1"/>
  <c r="E37" i="8"/>
  <c r="Q37" i="8" s="1"/>
  <c r="B37" i="8"/>
  <c r="C37" i="8" s="1"/>
  <c r="H36" i="8"/>
  <c r="G36" i="8"/>
  <c r="I36" i="8" s="1"/>
  <c r="E36" i="8"/>
  <c r="B36" i="8"/>
  <c r="C36" i="8" s="1"/>
  <c r="H35" i="8"/>
  <c r="G35" i="8"/>
  <c r="I35" i="8" s="1"/>
  <c r="E35" i="8"/>
  <c r="Q35" i="8" s="1"/>
  <c r="B35" i="8"/>
  <c r="C35" i="8" s="1"/>
  <c r="H34" i="8"/>
  <c r="G34" i="8"/>
  <c r="I34" i="8" s="1"/>
  <c r="E34" i="8"/>
  <c r="Q34" i="8" s="1"/>
  <c r="B34" i="8"/>
  <c r="C34" i="8" s="1"/>
  <c r="H33" i="8"/>
  <c r="G33" i="8"/>
  <c r="I33" i="8" s="1"/>
  <c r="E33" i="8"/>
  <c r="B33" i="8"/>
  <c r="C33" i="8" s="1"/>
  <c r="H32" i="8"/>
  <c r="G32" i="8"/>
  <c r="I32" i="8" s="1"/>
  <c r="E32" i="8"/>
  <c r="Q32" i="8" s="1"/>
  <c r="B32" i="8"/>
  <c r="C32" i="8" s="1"/>
  <c r="H31" i="8"/>
  <c r="G31" i="8"/>
  <c r="I31" i="8" s="1"/>
  <c r="E31" i="8"/>
  <c r="Q31" i="8" s="1"/>
  <c r="B31" i="8"/>
  <c r="C31" i="8" s="1"/>
  <c r="H30" i="8"/>
  <c r="G30" i="8"/>
  <c r="I30" i="8" s="1"/>
  <c r="E30" i="8"/>
  <c r="B30" i="8"/>
  <c r="C30" i="8" s="1"/>
  <c r="H29" i="8"/>
  <c r="G29" i="8"/>
  <c r="I29" i="8" s="1"/>
  <c r="E29" i="8"/>
  <c r="Q29" i="8" s="1"/>
  <c r="B29" i="8"/>
  <c r="C29" i="8" s="1"/>
  <c r="H28" i="8"/>
  <c r="G28" i="8"/>
  <c r="I28" i="8" s="1"/>
  <c r="E28" i="8"/>
  <c r="B28" i="8"/>
  <c r="C28" i="8" s="1"/>
  <c r="H27" i="8"/>
  <c r="G27" i="8"/>
  <c r="I27" i="8" s="1"/>
  <c r="E27" i="8"/>
  <c r="Q27" i="8" s="1"/>
  <c r="B27" i="8"/>
  <c r="C27" i="8" s="1"/>
  <c r="H26" i="8"/>
  <c r="G26" i="8"/>
  <c r="I26" i="8" s="1"/>
  <c r="E26" i="8"/>
  <c r="Q26" i="8" s="1"/>
  <c r="B26" i="8"/>
  <c r="C26" i="8" s="1"/>
  <c r="H25" i="8"/>
  <c r="G25" i="8"/>
  <c r="I25" i="8" s="1"/>
  <c r="E25" i="8"/>
  <c r="Q25" i="8" s="1"/>
  <c r="B25" i="8"/>
  <c r="C25" i="8" s="1"/>
  <c r="T24" i="8"/>
  <c r="H24" i="8"/>
  <c r="G24" i="8"/>
  <c r="I24" i="8" s="1"/>
  <c r="E24" i="8"/>
  <c r="Q24" i="8" s="1"/>
  <c r="B24" i="8"/>
  <c r="C24" i="8" s="1"/>
  <c r="T23" i="8"/>
  <c r="H23" i="8"/>
  <c r="G23" i="8"/>
  <c r="I23" i="8" s="1"/>
  <c r="E23" i="8"/>
  <c r="Q23" i="8" s="1"/>
  <c r="B23" i="8"/>
  <c r="C23" i="8" s="1"/>
  <c r="H22" i="8"/>
  <c r="H40" i="8" s="1"/>
  <c r="N41" i="8" s="1"/>
  <c r="G22" i="8"/>
  <c r="I22" i="8" s="1"/>
  <c r="I40" i="8" s="1"/>
  <c r="E22" i="8"/>
  <c r="B22" i="8"/>
  <c r="H21" i="8"/>
  <c r="G21" i="8"/>
  <c r="I20" i="8"/>
  <c r="L13" i="8"/>
  <c r="J13" i="8"/>
  <c r="H13" i="8"/>
  <c r="G13" i="8"/>
  <c r="L11" i="8"/>
  <c r="E74" i="8" s="1"/>
  <c r="J11" i="8"/>
  <c r="I11" i="8"/>
  <c r="H11" i="8"/>
  <c r="G11" i="8"/>
  <c r="F11" i="8"/>
  <c r="E21" i="8" s="1"/>
  <c r="F12" i="8" s="1"/>
  <c r="E11" i="8"/>
  <c r="E8" i="8"/>
  <c r="N7" i="8"/>
  <c r="G7" i="8"/>
  <c r="E7" i="8"/>
  <c r="G6" i="8"/>
  <c r="E6" i="8"/>
  <c r="N5" i="8"/>
  <c r="G5" i="8"/>
  <c r="K73" i="7"/>
  <c r="E71" i="7"/>
  <c r="E70" i="7"/>
  <c r="E69" i="7"/>
  <c r="E68" i="7"/>
  <c r="E73" i="7" s="1"/>
  <c r="K74" i="7" s="1"/>
  <c r="H63" i="7"/>
  <c r="I63" i="7" s="1"/>
  <c r="K62" i="7"/>
  <c r="E60" i="7"/>
  <c r="E59" i="7"/>
  <c r="E58" i="7"/>
  <c r="E57" i="7"/>
  <c r="E62" i="7" s="1"/>
  <c r="N51" i="7"/>
  <c r="L51" i="7"/>
  <c r="K51" i="7"/>
  <c r="H49" i="7"/>
  <c r="T25" i="7" s="1"/>
  <c r="G49" i="7"/>
  <c r="I49" i="7" s="1"/>
  <c r="E49" i="7"/>
  <c r="H48" i="7"/>
  <c r="G48" i="7"/>
  <c r="I48" i="7" s="1"/>
  <c r="E48" i="7"/>
  <c r="H47" i="7"/>
  <c r="T23" i="7" s="1"/>
  <c r="G47" i="7"/>
  <c r="E47" i="7"/>
  <c r="H46" i="7"/>
  <c r="H51" i="7" s="1"/>
  <c r="N52" i="7" s="1"/>
  <c r="G46" i="7"/>
  <c r="G51" i="7" s="1"/>
  <c r="L52" i="7" s="1"/>
  <c r="E46" i="7"/>
  <c r="E51" i="7" s="1"/>
  <c r="N40" i="7"/>
  <c r="L40" i="7"/>
  <c r="I13" i="7" s="1"/>
  <c r="K40" i="7"/>
  <c r="H38" i="7"/>
  <c r="G38" i="7"/>
  <c r="I38" i="7" s="1"/>
  <c r="E38" i="7"/>
  <c r="Q38" i="7" s="1"/>
  <c r="B38" i="7"/>
  <c r="C38" i="7" s="1"/>
  <c r="H37" i="7"/>
  <c r="G37" i="7"/>
  <c r="I37" i="7" s="1"/>
  <c r="E37" i="7"/>
  <c r="B37" i="7"/>
  <c r="C37" i="7" s="1"/>
  <c r="H36" i="7"/>
  <c r="G36" i="7"/>
  <c r="I36" i="7" s="1"/>
  <c r="E36" i="7"/>
  <c r="Q36" i="7" s="1"/>
  <c r="B36" i="7"/>
  <c r="C36" i="7" s="1"/>
  <c r="H35" i="7"/>
  <c r="G35" i="7"/>
  <c r="I35" i="7" s="1"/>
  <c r="E35" i="7"/>
  <c r="Q35" i="7" s="1"/>
  <c r="B35" i="7"/>
  <c r="C35" i="7" s="1"/>
  <c r="H34" i="7"/>
  <c r="G34" i="7"/>
  <c r="I34" i="7" s="1"/>
  <c r="E34" i="7"/>
  <c r="B34" i="7"/>
  <c r="C34" i="7" s="1"/>
  <c r="H33" i="7"/>
  <c r="G33" i="7"/>
  <c r="I33" i="7" s="1"/>
  <c r="E33" i="7"/>
  <c r="Q33" i="7" s="1"/>
  <c r="B33" i="7"/>
  <c r="C33" i="7" s="1"/>
  <c r="H32" i="7"/>
  <c r="G32" i="7"/>
  <c r="I32" i="7" s="1"/>
  <c r="E32" i="7"/>
  <c r="Q32" i="7" s="1"/>
  <c r="B32" i="7"/>
  <c r="C32" i="7" s="1"/>
  <c r="H31" i="7"/>
  <c r="G31" i="7"/>
  <c r="I31" i="7" s="1"/>
  <c r="E31" i="7"/>
  <c r="Q31" i="7" s="1"/>
  <c r="B31" i="7"/>
  <c r="C31" i="7" s="1"/>
  <c r="H30" i="7"/>
  <c r="G30" i="7"/>
  <c r="I30" i="7" s="1"/>
  <c r="E30" i="7"/>
  <c r="B30" i="7"/>
  <c r="C30" i="7" s="1"/>
  <c r="H29" i="7"/>
  <c r="G29" i="7"/>
  <c r="I29" i="7" s="1"/>
  <c r="E29" i="7"/>
  <c r="Q29" i="7" s="1"/>
  <c r="B29" i="7"/>
  <c r="C29" i="7" s="1"/>
  <c r="H28" i="7"/>
  <c r="G28" i="7"/>
  <c r="I28" i="7" s="1"/>
  <c r="E28" i="7"/>
  <c r="B28" i="7"/>
  <c r="C28" i="7" s="1"/>
  <c r="H27" i="7"/>
  <c r="G27" i="7"/>
  <c r="I27" i="7" s="1"/>
  <c r="E27" i="7"/>
  <c r="Q27" i="7" s="1"/>
  <c r="B27" i="7"/>
  <c r="C27" i="7" s="1"/>
  <c r="H26" i="7"/>
  <c r="G26" i="7"/>
  <c r="I26" i="7" s="1"/>
  <c r="E26" i="7"/>
  <c r="Q26" i="7" s="1"/>
  <c r="B26" i="7"/>
  <c r="C26" i="7" s="1"/>
  <c r="H25" i="7"/>
  <c r="G25" i="7"/>
  <c r="I25" i="7" s="1"/>
  <c r="E25" i="7"/>
  <c r="Q25" i="7" s="1"/>
  <c r="B25" i="7"/>
  <c r="C25" i="7" s="1"/>
  <c r="T24" i="7"/>
  <c r="H24" i="7"/>
  <c r="G24" i="7"/>
  <c r="I24" i="7" s="1"/>
  <c r="E24" i="7"/>
  <c r="Q24" i="7" s="1"/>
  <c r="B24" i="7"/>
  <c r="C24" i="7" s="1"/>
  <c r="H23" i="7"/>
  <c r="G23" i="7"/>
  <c r="I23" i="7" s="1"/>
  <c r="E23" i="7"/>
  <c r="B23" i="7"/>
  <c r="C23" i="7" s="1"/>
  <c r="T22" i="7"/>
  <c r="T41" i="7" s="1"/>
  <c r="I52" i="7" s="1"/>
  <c r="H22" i="7"/>
  <c r="G22" i="7"/>
  <c r="I22" i="7" s="1"/>
  <c r="E22" i="7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B22" i="7"/>
  <c r="B40" i="7" s="1"/>
  <c r="H21" i="7"/>
  <c r="H40" i="7" s="1"/>
  <c r="N41" i="7" s="1"/>
  <c r="G21" i="7"/>
  <c r="I20" i="7"/>
  <c r="L13" i="7"/>
  <c r="H13" i="7"/>
  <c r="G13" i="7"/>
  <c r="L12" i="7"/>
  <c r="J12" i="7"/>
  <c r="L11" i="7"/>
  <c r="J11" i="7"/>
  <c r="H11" i="7"/>
  <c r="G11" i="7"/>
  <c r="F11" i="7"/>
  <c r="E21" i="7" s="1"/>
  <c r="F12" i="7" s="1"/>
  <c r="E11" i="7"/>
  <c r="E8" i="7"/>
  <c r="N7" i="7"/>
  <c r="G7" i="7"/>
  <c r="E7" i="7"/>
  <c r="G6" i="7"/>
  <c r="E6" i="7"/>
  <c r="N5" i="7"/>
  <c r="J5" i="7"/>
  <c r="G5" i="7"/>
  <c r="K73" i="6"/>
  <c r="L13" i="6" s="1"/>
  <c r="E71" i="6"/>
  <c r="E70" i="6"/>
  <c r="E69" i="6"/>
  <c r="E68" i="6"/>
  <c r="E73" i="6" s="1"/>
  <c r="K74" i="6" s="1"/>
  <c r="H63" i="6"/>
  <c r="I63" i="6" s="1"/>
  <c r="K62" i="6"/>
  <c r="J13" i="6" s="1"/>
  <c r="E60" i="6"/>
  <c r="E59" i="6"/>
  <c r="E58" i="6"/>
  <c r="E57" i="6"/>
  <c r="E62" i="6" s="1"/>
  <c r="N51" i="6"/>
  <c r="L51" i="6"/>
  <c r="K51" i="6"/>
  <c r="H13" i="6" s="1"/>
  <c r="H49" i="6"/>
  <c r="G49" i="6"/>
  <c r="I49" i="6" s="1"/>
  <c r="E49" i="6"/>
  <c r="H48" i="6"/>
  <c r="G48" i="6"/>
  <c r="I48" i="6" s="1"/>
  <c r="E48" i="6"/>
  <c r="H47" i="6"/>
  <c r="G47" i="6"/>
  <c r="I47" i="6" s="1"/>
  <c r="E47" i="6"/>
  <c r="H46" i="6"/>
  <c r="H51" i="6" s="1"/>
  <c r="G46" i="6"/>
  <c r="E46" i="6"/>
  <c r="E51" i="6" s="1"/>
  <c r="B44" i="6"/>
  <c r="N40" i="6"/>
  <c r="L40" i="6"/>
  <c r="K40" i="6"/>
  <c r="H38" i="6"/>
  <c r="G38" i="6"/>
  <c r="I38" i="6" s="1"/>
  <c r="E38" i="6"/>
  <c r="B38" i="6"/>
  <c r="C38" i="6" s="1"/>
  <c r="H37" i="6"/>
  <c r="G37" i="6"/>
  <c r="I37" i="6" s="1"/>
  <c r="E37" i="6"/>
  <c r="Q37" i="6" s="1"/>
  <c r="B37" i="6"/>
  <c r="C37" i="6" s="1"/>
  <c r="H36" i="6"/>
  <c r="G36" i="6"/>
  <c r="I36" i="6" s="1"/>
  <c r="E36" i="6"/>
  <c r="Q36" i="6" s="1"/>
  <c r="B36" i="6"/>
  <c r="C36" i="6" s="1"/>
  <c r="H35" i="6"/>
  <c r="G35" i="6"/>
  <c r="I35" i="6" s="1"/>
  <c r="E35" i="6"/>
  <c r="B35" i="6"/>
  <c r="C35" i="6" s="1"/>
  <c r="H34" i="6"/>
  <c r="G34" i="6"/>
  <c r="I34" i="6" s="1"/>
  <c r="E34" i="6"/>
  <c r="B34" i="6"/>
  <c r="C34" i="6" s="1"/>
  <c r="H33" i="6"/>
  <c r="G33" i="6"/>
  <c r="I33" i="6" s="1"/>
  <c r="E33" i="6"/>
  <c r="Q33" i="6" s="1"/>
  <c r="B33" i="6"/>
  <c r="C33" i="6" s="1"/>
  <c r="H32" i="6"/>
  <c r="G32" i="6"/>
  <c r="I32" i="6" s="1"/>
  <c r="E32" i="6"/>
  <c r="Q32" i="6" s="1"/>
  <c r="B32" i="6"/>
  <c r="C32" i="6" s="1"/>
  <c r="H31" i="6"/>
  <c r="G31" i="6"/>
  <c r="I31" i="6" s="1"/>
  <c r="E31" i="6"/>
  <c r="B31" i="6"/>
  <c r="C31" i="6" s="1"/>
  <c r="H30" i="6"/>
  <c r="G30" i="6"/>
  <c r="I30" i="6" s="1"/>
  <c r="E30" i="6"/>
  <c r="B30" i="6"/>
  <c r="C30" i="6" s="1"/>
  <c r="H29" i="6"/>
  <c r="G29" i="6"/>
  <c r="I29" i="6" s="1"/>
  <c r="E29" i="6"/>
  <c r="B29" i="6"/>
  <c r="C29" i="6" s="1"/>
  <c r="H28" i="6"/>
  <c r="G28" i="6"/>
  <c r="I28" i="6" s="1"/>
  <c r="E28" i="6"/>
  <c r="Q28" i="6" s="1"/>
  <c r="B28" i="6"/>
  <c r="C28" i="6" s="1"/>
  <c r="H27" i="6"/>
  <c r="G27" i="6"/>
  <c r="I27" i="6" s="1"/>
  <c r="E27" i="6"/>
  <c r="B27" i="6"/>
  <c r="C27" i="6" s="1"/>
  <c r="H26" i="6"/>
  <c r="G26" i="6"/>
  <c r="I26" i="6" s="1"/>
  <c r="E26" i="6"/>
  <c r="B26" i="6"/>
  <c r="C26" i="6" s="1"/>
  <c r="T25" i="6"/>
  <c r="H25" i="6"/>
  <c r="G25" i="6"/>
  <c r="I25" i="6" s="1"/>
  <c r="E25" i="6"/>
  <c r="Q25" i="6" s="1"/>
  <c r="B25" i="6"/>
  <c r="C25" i="6" s="1"/>
  <c r="T24" i="6"/>
  <c r="H24" i="6"/>
  <c r="G24" i="6"/>
  <c r="I24" i="6" s="1"/>
  <c r="E24" i="6"/>
  <c r="B24" i="6"/>
  <c r="C24" i="6" s="1"/>
  <c r="T23" i="6"/>
  <c r="H23" i="6"/>
  <c r="G23" i="6"/>
  <c r="I23" i="6" s="1"/>
  <c r="E23" i="6"/>
  <c r="Q23" i="6" s="1"/>
  <c r="B23" i="6"/>
  <c r="C23" i="6" s="1"/>
  <c r="T22" i="6"/>
  <c r="T41" i="6" s="1"/>
  <c r="I52" i="6" s="1"/>
  <c r="H22" i="6"/>
  <c r="H40" i="6" s="1"/>
  <c r="N41" i="6" s="1"/>
  <c r="G22" i="6"/>
  <c r="I22" i="6" s="1"/>
  <c r="I40" i="6" s="1"/>
  <c r="E22" i="6"/>
  <c r="B22" i="6"/>
  <c r="H21" i="6"/>
  <c r="G21" i="6"/>
  <c r="I20" i="6"/>
  <c r="G13" i="6"/>
  <c r="L12" i="6"/>
  <c r="L14" i="6" s="1"/>
  <c r="J12" i="6"/>
  <c r="L11" i="6"/>
  <c r="E74" i="6" s="1"/>
  <c r="J11" i="6"/>
  <c r="J15" i="6" s="1"/>
  <c r="I11" i="6"/>
  <c r="H11" i="6"/>
  <c r="G11" i="6"/>
  <c r="F11" i="6"/>
  <c r="E21" i="6" s="1"/>
  <c r="F12" i="6" s="1"/>
  <c r="E11" i="6"/>
  <c r="E20" i="6" s="1"/>
  <c r="E12" i="6" s="1"/>
  <c r="E8" i="6"/>
  <c r="N7" i="6"/>
  <c r="G7" i="6"/>
  <c r="E7" i="6"/>
  <c r="G6" i="6"/>
  <c r="E6" i="6"/>
  <c r="N5" i="6"/>
  <c r="G5" i="6"/>
  <c r="K73" i="5"/>
  <c r="E71" i="5"/>
  <c r="E70" i="5"/>
  <c r="E69" i="5"/>
  <c r="E68" i="5"/>
  <c r="E73" i="5" s="1"/>
  <c r="H63" i="5"/>
  <c r="I63" i="5" s="1"/>
  <c r="K62" i="5"/>
  <c r="J13" i="5" s="1"/>
  <c r="E60" i="5"/>
  <c r="E59" i="5"/>
  <c r="E58" i="5"/>
  <c r="E57" i="5"/>
  <c r="E62" i="5" s="1"/>
  <c r="K63" i="5" s="1"/>
  <c r="N51" i="5"/>
  <c r="L51" i="5"/>
  <c r="K51" i="5"/>
  <c r="H49" i="5"/>
  <c r="T25" i="5" s="1"/>
  <c r="G49" i="5"/>
  <c r="I49" i="5" s="1"/>
  <c r="E49" i="5"/>
  <c r="H48" i="5"/>
  <c r="G48" i="5"/>
  <c r="I48" i="5" s="1"/>
  <c r="E48" i="5"/>
  <c r="H47" i="5"/>
  <c r="T23" i="5" s="1"/>
  <c r="G47" i="5"/>
  <c r="E47" i="5"/>
  <c r="H46" i="5"/>
  <c r="H51" i="5" s="1"/>
  <c r="N52" i="5" s="1"/>
  <c r="G46" i="5"/>
  <c r="E46" i="5"/>
  <c r="E51" i="5" s="1"/>
  <c r="K52" i="5" s="1"/>
  <c r="N40" i="5"/>
  <c r="L40" i="5"/>
  <c r="I13" i="5" s="1"/>
  <c r="K40" i="5"/>
  <c r="H38" i="5"/>
  <c r="G38" i="5"/>
  <c r="I38" i="5" s="1"/>
  <c r="E38" i="5"/>
  <c r="B38" i="5"/>
  <c r="C38" i="5" s="1"/>
  <c r="H37" i="5"/>
  <c r="G37" i="5"/>
  <c r="I37" i="5" s="1"/>
  <c r="E37" i="5"/>
  <c r="B37" i="5"/>
  <c r="C37" i="5" s="1"/>
  <c r="H36" i="5"/>
  <c r="G36" i="5"/>
  <c r="I36" i="5" s="1"/>
  <c r="E36" i="5"/>
  <c r="Q36" i="5" s="1"/>
  <c r="B36" i="5"/>
  <c r="C36" i="5" s="1"/>
  <c r="H35" i="5"/>
  <c r="G35" i="5"/>
  <c r="I35" i="5" s="1"/>
  <c r="E35" i="5"/>
  <c r="Q35" i="5" s="1"/>
  <c r="B35" i="5"/>
  <c r="C35" i="5" s="1"/>
  <c r="H34" i="5"/>
  <c r="G34" i="5"/>
  <c r="I34" i="5" s="1"/>
  <c r="E34" i="5"/>
  <c r="Q34" i="5" s="1"/>
  <c r="B34" i="5"/>
  <c r="C34" i="5" s="1"/>
  <c r="H33" i="5"/>
  <c r="G33" i="5"/>
  <c r="I33" i="5" s="1"/>
  <c r="E33" i="5"/>
  <c r="B33" i="5"/>
  <c r="C33" i="5" s="1"/>
  <c r="H32" i="5"/>
  <c r="G32" i="5"/>
  <c r="I32" i="5" s="1"/>
  <c r="E32" i="5"/>
  <c r="B32" i="5"/>
  <c r="C32" i="5" s="1"/>
  <c r="Q31" i="5"/>
  <c r="H31" i="5"/>
  <c r="G31" i="5"/>
  <c r="I31" i="5" s="1"/>
  <c r="B31" i="5"/>
  <c r="C31" i="5" s="1"/>
  <c r="H30" i="5"/>
  <c r="G30" i="5"/>
  <c r="I30" i="5" s="1"/>
  <c r="E30" i="5"/>
  <c r="B30" i="5"/>
  <c r="C30" i="5" s="1"/>
  <c r="H29" i="5"/>
  <c r="G29" i="5"/>
  <c r="I29" i="5" s="1"/>
  <c r="E29" i="5"/>
  <c r="Q29" i="5" s="1"/>
  <c r="B29" i="5"/>
  <c r="C29" i="5" s="1"/>
  <c r="H28" i="5"/>
  <c r="G28" i="5"/>
  <c r="I28" i="5" s="1"/>
  <c r="E28" i="5"/>
  <c r="Q28" i="5" s="1"/>
  <c r="B28" i="5"/>
  <c r="C28" i="5" s="1"/>
  <c r="H27" i="5"/>
  <c r="G27" i="5"/>
  <c r="I27" i="5" s="1"/>
  <c r="E27" i="5"/>
  <c r="B27" i="5"/>
  <c r="C27" i="5" s="1"/>
  <c r="H26" i="5"/>
  <c r="G26" i="5"/>
  <c r="I26" i="5" s="1"/>
  <c r="E26" i="5"/>
  <c r="B26" i="5"/>
  <c r="C26" i="5" s="1"/>
  <c r="H25" i="5"/>
  <c r="G25" i="5"/>
  <c r="I25" i="5" s="1"/>
  <c r="E25" i="5"/>
  <c r="B25" i="5"/>
  <c r="C25" i="5" s="1"/>
  <c r="T24" i="5"/>
  <c r="H24" i="5"/>
  <c r="G24" i="5"/>
  <c r="I24" i="5" s="1"/>
  <c r="E24" i="5"/>
  <c r="B24" i="5"/>
  <c r="C24" i="5" s="1"/>
  <c r="H23" i="5"/>
  <c r="G23" i="5"/>
  <c r="I23" i="5" s="1"/>
  <c r="E23" i="5"/>
  <c r="B23" i="5"/>
  <c r="C23" i="5" s="1"/>
  <c r="T22" i="5"/>
  <c r="T41" i="5" s="1"/>
  <c r="I52" i="5" s="1"/>
  <c r="H22" i="5"/>
  <c r="H40" i="5" s="1"/>
  <c r="N41" i="5" s="1"/>
  <c r="G22" i="5"/>
  <c r="I22" i="5" s="1"/>
  <c r="I40" i="5" s="1"/>
  <c r="E22" i="5"/>
  <c r="B22" i="5"/>
  <c r="B40" i="5" s="1"/>
  <c r="H21" i="5"/>
  <c r="G21" i="5"/>
  <c r="I20" i="5"/>
  <c r="L13" i="5"/>
  <c r="H13" i="5"/>
  <c r="G13" i="5"/>
  <c r="J12" i="5"/>
  <c r="J14" i="5" s="1"/>
  <c r="H12" i="5"/>
  <c r="L11" i="5"/>
  <c r="J11" i="5"/>
  <c r="I11" i="5"/>
  <c r="H11" i="5"/>
  <c r="H15" i="5" s="1"/>
  <c r="G11" i="5"/>
  <c r="F11" i="5"/>
  <c r="E21" i="5" s="1"/>
  <c r="F12" i="5" s="1"/>
  <c r="F13" i="5" s="1"/>
  <c r="E11" i="5"/>
  <c r="E8" i="5"/>
  <c r="N7" i="5"/>
  <c r="G7" i="5"/>
  <c r="E7" i="5"/>
  <c r="E6" i="5"/>
  <c r="N5" i="5"/>
  <c r="G5" i="5"/>
  <c r="K73" i="4"/>
  <c r="L13" i="4" s="1"/>
  <c r="E71" i="4"/>
  <c r="E70" i="4"/>
  <c r="E69" i="4"/>
  <c r="E68" i="4"/>
  <c r="E73" i="4" s="1"/>
  <c r="K74" i="4" s="1"/>
  <c r="H63" i="4"/>
  <c r="I63" i="4" s="1"/>
  <c r="K62" i="4"/>
  <c r="E60" i="4"/>
  <c r="E59" i="4"/>
  <c r="E58" i="4"/>
  <c r="E57" i="4"/>
  <c r="E62" i="4" s="1"/>
  <c r="N51" i="4"/>
  <c r="L51" i="4"/>
  <c r="K51" i="4"/>
  <c r="H49" i="4"/>
  <c r="G49" i="4"/>
  <c r="E49" i="4"/>
  <c r="H48" i="4"/>
  <c r="G48" i="4"/>
  <c r="I48" i="4" s="1"/>
  <c r="E48" i="4"/>
  <c r="H47" i="4"/>
  <c r="G47" i="4"/>
  <c r="I47" i="4" s="1"/>
  <c r="E47" i="4"/>
  <c r="H46" i="4"/>
  <c r="H51" i="4" s="1"/>
  <c r="N52" i="4" s="1"/>
  <c r="G46" i="4"/>
  <c r="G51" i="4" s="1"/>
  <c r="L52" i="4" s="1"/>
  <c r="E46" i="4"/>
  <c r="E51" i="4" s="1"/>
  <c r="N40" i="4"/>
  <c r="L40" i="4"/>
  <c r="K40" i="4"/>
  <c r="H38" i="4"/>
  <c r="G38" i="4"/>
  <c r="I38" i="4" s="1"/>
  <c r="E38" i="4"/>
  <c r="B38" i="4"/>
  <c r="H37" i="4"/>
  <c r="G37" i="4"/>
  <c r="I37" i="4" s="1"/>
  <c r="E37" i="4"/>
  <c r="B37" i="4"/>
  <c r="H36" i="4"/>
  <c r="G36" i="4"/>
  <c r="I36" i="4" s="1"/>
  <c r="E36" i="4"/>
  <c r="Q36" i="4" s="1"/>
  <c r="B36" i="4"/>
  <c r="H35" i="4"/>
  <c r="G35" i="4"/>
  <c r="I35" i="4" s="1"/>
  <c r="E35" i="4"/>
  <c r="B35" i="4"/>
  <c r="H34" i="4"/>
  <c r="G34" i="4"/>
  <c r="I34" i="4" s="1"/>
  <c r="E34" i="4"/>
  <c r="B34" i="4"/>
  <c r="H33" i="4"/>
  <c r="G33" i="4"/>
  <c r="I33" i="4" s="1"/>
  <c r="E33" i="4"/>
  <c r="Q33" i="4" s="1"/>
  <c r="B33" i="4"/>
  <c r="H32" i="4"/>
  <c r="G32" i="4"/>
  <c r="I32" i="4" s="1"/>
  <c r="E32" i="4"/>
  <c r="B32" i="4"/>
  <c r="H31" i="4"/>
  <c r="G31" i="4"/>
  <c r="I31" i="4" s="1"/>
  <c r="E31" i="4"/>
  <c r="Q31" i="4" s="1"/>
  <c r="B31" i="4"/>
  <c r="H30" i="4"/>
  <c r="G30" i="4"/>
  <c r="I30" i="4" s="1"/>
  <c r="E30" i="4"/>
  <c r="Q30" i="4" s="1"/>
  <c r="B30" i="4"/>
  <c r="H29" i="4"/>
  <c r="G29" i="4"/>
  <c r="I29" i="4" s="1"/>
  <c r="E29" i="4"/>
  <c r="B29" i="4"/>
  <c r="H28" i="4"/>
  <c r="G28" i="4"/>
  <c r="I28" i="4" s="1"/>
  <c r="E28" i="4"/>
  <c r="Q28" i="4" s="1"/>
  <c r="B28" i="4"/>
  <c r="H27" i="4"/>
  <c r="G27" i="4"/>
  <c r="I27" i="4" s="1"/>
  <c r="E27" i="4"/>
  <c r="Q27" i="4" s="1"/>
  <c r="B27" i="4"/>
  <c r="H26" i="4"/>
  <c r="G26" i="4"/>
  <c r="I26" i="4" s="1"/>
  <c r="E26" i="4"/>
  <c r="Q26" i="4" s="1"/>
  <c r="B26" i="4"/>
  <c r="H25" i="4"/>
  <c r="G25" i="4"/>
  <c r="I25" i="4" s="1"/>
  <c r="E25" i="4"/>
  <c r="B25" i="4"/>
  <c r="T24" i="4"/>
  <c r="H24" i="4"/>
  <c r="G24" i="4"/>
  <c r="I24" i="4" s="1"/>
  <c r="E24" i="4"/>
  <c r="B24" i="4"/>
  <c r="B40" i="4" s="1"/>
  <c r="T23" i="4"/>
  <c r="H23" i="4"/>
  <c r="G23" i="4"/>
  <c r="I23" i="4" s="1"/>
  <c r="Q23" i="4" s="1"/>
  <c r="H22" i="4"/>
  <c r="G22" i="4"/>
  <c r="I22" i="4" s="1"/>
  <c r="Q22" i="4" s="1"/>
  <c r="Q39" i="4" s="1"/>
  <c r="H21" i="4"/>
  <c r="H40" i="4" s="1"/>
  <c r="N41" i="4" s="1"/>
  <c r="G21" i="4"/>
  <c r="I20" i="4"/>
  <c r="J13" i="4"/>
  <c r="H13" i="4"/>
  <c r="G13" i="4"/>
  <c r="L12" i="4"/>
  <c r="L11" i="4"/>
  <c r="E74" i="4" s="1"/>
  <c r="J11" i="4"/>
  <c r="E63" i="4" s="1"/>
  <c r="I11" i="4"/>
  <c r="H11" i="4"/>
  <c r="G11" i="4"/>
  <c r="F11" i="4"/>
  <c r="E11" i="4"/>
  <c r="E8" i="4"/>
  <c r="N7" i="4"/>
  <c r="G7" i="4"/>
  <c r="F22" i="4" s="1"/>
  <c r="E7" i="4"/>
  <c r="E6" i="4"/>
  <c r="N5" i="4"/>
  <c r="J5" i="4"/>
  <c r="G5" i="4"/>
  <c r="K73" i="3"/>
  <c r="E71" i="3"/>
  <c r="E70" i="3"/>
  <c r="E69" i="3"/>
  <c r="E68" i="3"/>
  <c r="E73" i="3" s="1"/>
  <c r="K74" i="3" s="1"/>
  <c r="H63" i="3"/>
  <c r="I63" i="3" s="1"/>
  <c r="K62" i="3"/>
  <c r="E60" i="3"/>
  <c r="E59" i="3"/>
  <c r="E58" i="3"/>
  <c r="E57" i="3"/>
  <c r="E62" i="3" s="1"/>
  <c r="N51" i="3"/>
  <c r="L51" i="3"/>
  <c r="K51" i="3"/>
  <c r="H49" i="3"/>
  <c r="G49" i="3"/>
  <c r="I49" i="3" s="1"/>
  <c r="E49" i="3"/>
  <c r="H48" i="3"/>
  <c r="G48" i="3"/>
  <c r="I48" i="3" s="1"/>
  <c r="E48" i="3"/>
  <c r="E51" i="3" s="1"/>
  <c r="K52" i="3" s="1"/>
  <c r="H47" i="3"/>
  <c r="T23" i="3" s="1"/>
  <c r="G47" i="3"/>
  <c r="H46" i="3"/>
  <c r="H51" i="3" s="1"/>
  <c r="N52" i="3" s="1"/>
  <c r="G46" i="3"/>
  <c r="G51" i="3" s="1"/>
  <c r="L52" i="3" s="1"/>
  <c r="N40" i="3"/>
  <c r="L40" i="3"/>
  <c r="I13" i="3" s="1"/>
  <c r="K40" i="3"/>
  <c r="H38" i="3"/>
  <c r="G38" i="3"/>
  <c r="I38" i="3" s="1"/>
  <c r="E38" i="3"/>
  <c r="Q38" i="3" s="1"/>
  <c r="B38" i="3"/>
  <c r="C38" i="3" s="1"/>
  <c r="H37" i="3"/>
  <c r="G37" i="3"/>
  <c r="I37" i="3" s="1"/>
  <c r="E37" i="3"/>
  <c r="B37" i="3"/>
  <c r="C37" i="3" s="1"/>
  <c r="H36" i="3"/>
  <c r="G36" i="3"/>
  <c r="I36" i="3" s="1"/>
  <c r="E36" i="3"/>
  <c r="Q36" i="3" s="1"/>
  <c r="B36" i="3"/>
  <c r="C36" i="3" s="1"/>
  <c r="H35" i="3"/>
  <c r="G35" i="3"/>
  <c r="I35" i="3" s="1"/>
  <c r="E35" i="3"/>
  <c r="Q35" i="3" s="1"/>
  <c r="B35" i="3"/>
  <c r="C35" i="3" s="1"/>
  <c r="H34" i="3"/>
  <c r="G34" i="3"/>
  <c r="I34" i="3" s="1"/>
  <c r="E34" i="3"/>
  <c r="Q34" i="3" s="1"/>
  <c r="B34" i="3"/>
  <c r="C34" i="3" s="1"/>
  <c r="H33" i="3"/>
  <c r="G33" i="3"/>
  <c r="I33" i="3" s="1"/>
  <c r="E33" i="3"/>
  <c r="B33" i="3"/>
  <c r="C33" i="3" s="1"/>
  <c r="H32" i="3"/>
  <c r="G32" i="3"/>
  <c r="I32" i="3" s="1"/>
  <c r="E32" i="3"/>
  <c r="Q32" i="3" s="1"/>
  <c r="B32" i="3"/>
  <c r="C32" i="3" s="1"/>
  <c r="H31" i="3"/>
  <c r="G31" i="3"/>
  <c r="I31" i="3" s="1"/>
  <c r="E31" i="3"/>
  <c r="Q31" i="3" s="1"/>
  <c r="B31" i="3"/>
  <c r="C31" i="3" s="1"/>
  <c r="H30" i="3"/>
  <c r="G30" i="3"/>
  <c r="I30" i="3" s="1"/>
  <c r="E30" i="3"/>
  <c r="Q30" i="3" s="1"/>
  <c r="B30" i="3"/>
  <c r="C30" i="3" s="1"/>
  <c r="H29" i="3"/>
  <c r="G29" i="3"/>
  <c r="I29" i="3" s="1"/>
  <c r="E29" i="3"/>
  <c r="B29" i="3"/>
  <c r="C29" i="3" s="1"/>
  <c r="H28" i="3"/>
  <c r="G28" i="3"/>
  <c r="I28" i="3" s="1"/>
  <c r="E28" i="3"/>
  <c r="Q28" i="3" s="1"/>
  <c r="B28" i="3"/>
  <c r="C28" i="3" s="1"/>
  <c r="H27" i="3"/>
  <c r="G27" i="3"/>
  <c r="I27" i="3" s="1"/>
  <c r="E27" i="3"/>
  <c r="B27" i="3"/>
  <c r="C27" i="3" s="1"/>
  <c r="H26" i="3"/>
  <c r="G26" i="3"/>
  <c r="I26" i="3" s="1"/>
  <c r="Q26" i="3" s="1"/>
  <c r="B26" i="3"/>
  <c r="C26" i="3" s="1"/>
  <c r="T25" i="3"/>
  <c r="H25" i="3"/>
  <c r="G25" i="3"/>
  <c r="I25" i="3" s="1"/>
  <c r="Q25" i="3" s="1"/>
  <c r="B25" i="3"/>
  <c r="C25" i="3" s="1"/>
  <c r="T24" i="3"/>
  <c r="H24" i="3"/>
  <c r="G24" i="3"/>
  <c r="I24" i="3" s="1"/>
  <c r="Q24" i="3" s="1"/>
  <c r="B24" i="3"/>
  <c r="H23" i="3"/>
  <c r="G23" i="3"/>
  <c r="I23" i="3" s="1"/>
  <c r="Q23" i="3" s="1"/>
  <c r="B23" i="3"/>
  <c r="C23" i="3" s="1"/>
  <c r="T22" i="3"/>
  <c r="T41" i="3" s="1"/>
  <c r="I52" i="3" s="1"/>
  <c r="H22" i="3"/>
  <c r="G22" i="3"/>
  <c r="I22" i="3" s="1"/>
  <c r="Q22" i="3" s="1"/>
  <c r="Q39" i="3" s="1"/>
  <c r="B22" i="3"/>
  <c r="C22" i="3" s="1"/>
  <c r="H21" i="3"/>
  <c r="H40" i="3" s="1"/>
  <c r="G21" i="3"/>
  <c r="I20" i="3"/>
  <c r="L13" i="3"/>
  <c r="H13" i="3"/>
  <c r="G13" i="3"/>
  <c r="L12" i="3"/>
  <c r="J12" i="3"/>
  <c r="H12" i="3"/>
  <c r="H14" i="3" s="1"/>
  <c r="E12" i="3"/>
  <c r="L11" i="3"/>
  <c r="E74" i="3" s="1"/>
  <c r="J11" i="3"/>
  <c r="I11" i="3"/>
  <c r="H11" i="3"/>
  <c r="G11" i="3"/>
  <c r="F11" i="3"/>
  <c r="E21" i="3" s="1"/>
  <c r="F12" i="3" s="1"/>
  <c r="E8" i="3"/>
  <c r="N7" i="3"/>
  <c r="G7" i="3"/>
  <c r="F22" i="3" s="1"/>
  <c r="G6" i="3"/>
  <c r="E6" i="3"/>
  <c r="N5" i="3"/>
  <c r="G5" i="3"/>
  <c r="K73" i="2"/>
  <c r="L13" i="2" s="1"/>
  <c r="E71" i="2"/>
  <c r="E70" i="2"/>
  <c r="E69" i="2"/>
  <c r="E68" i="2"/>
  <c r="E73" i="2" s="1"/>
  <c r="H63" i="2"/>
  <c r="I63" i="2" s="1"/>
  <c r="K62" i="2"/>
  <c r="E60" i="2"/>
  <c r="E59" i="2"/>
  <c r="E58" i="2"/>
  <c r="E57" i="2"/>
  <c r="E62" i="2" s="1"/>
  <c r="N51" i="2"/>
  <c r="L51" i="2"/>
  <c r="K51" i="2"/>
  <c r="H49" i="2"/>
  <c r="G49" i="2"/>
  <c r="I49" i="2" s="1"/>
  <c r="E49" i="2"/>
  <c r="H48" i="2"/>
  <c r="G48" i="2"/>
  <c r="I48" i="2" s="1"/>
  <c r="E48" i="2"/>
  <c r="H47" i="2"/>
  <c r="T23" i="2" s="1"/>
  <c r="G47" i="2"/>
  <c r="I47" i="2" s="1"/>
  <c r="E47" i="2"/>
  <c r="G46" i="2"/>
  <c r="E46" i="2"/>
  <c r="E51" i="2" s="1"/>
  <c r="N40" i="2"/>
  <c r="L40" i="2"/>
  <c r="K40" i="2"/>
  <c r="H38" i="2"/>
  <c r="G38" i="2"/>
  <c r="I38" i="2" s="1"/>
  <c r="E38" i="2"/>
  <c r="Q38" i="2" s="1"/>
  <c r="B38" i="2"/>
  <c r="C38" i="2" s="1"/>
  <c r="H37" i="2"/>
  <c r="G37" i="2"/>
  <c r="I37" i="2" s="1"/>
  <c r="E37" i="2"/>
  <c r="Q37" i="2" s="1"/>
  <c r="B37" i="2"/>
  <c r="C37" i="2" s="1"/>
  <c r="H36" i="2"/>
  <c r="G36" i="2"/>
  <c r="I36" i="2" s="1"/>
  <c r="E36" i="2"/>
  <c r="B36" i="2"/>
  <c r="C36" i="2" s="1"/>
  <c r="H35" i="2"/>
  <c r="G35" i="2"/>
  <c r="I35" i="2" s="1"/>
  <c r="E35" i="2"/>
  <c r="B35" i="2"/>
  <c r="C35" i="2" s="1"/>
  <c r="H34" i="2"/>
  <c r="G34" i="2"/>
  <c r="I34" i="2" s="1"/>
  <c r="E34" i="2"/>
  <c r="Q34" i="2" s="1"/>
  <c r="B34" i="2"/>
  <c r="C34" i="2" s="1"/>
  <c r="H33" i="2"/>
  <c r="G33" i="2"/>
  <c r="I33" i="2" s="1"/>
  <c r="E33" i="2"/>
  <c r="Q33" i="2" s="1"/>
  <c r="B33" i="2"/>
  <c r="C33" i="2" s="1"/>
  <c r="H32" i="2"/>
  <c r="G32" i="2"/>
  <c r="I32" i="2" s="1"/>
  <c r="E32" i="2"/>
  <c r="B32" i="2"/>
  <c r="C32" i="2" s="1"/>
  <c r="H31" i="2"/>
  <c r="G31" i="2"/>
  <c r="I31" i="2" s="1"/>
  <c r="E31" i="2"/>
  <c r="B31" i="2"/>
  <c r="C31" i="2" s="1"/>
  <c r="H30" i="2"/>
  <c r="G30" i="2"/>
  <c r="I30" i="2" s="1"/>
  <c r="E30" i="2"/>
  <c r="Q30" i="2" s="1"/>
  <c r="B30" i="2"/>
  <c r="C30" i="2" s="1"/>
  <c r="S29" i="2"/>
  <c r="G29" i="2"/>
  <c r="I29" i="2" s="1"/>
  <c r="E29" i="2"/>
  <c r="B29" i="2"/>
  <c r="S28" i="2"/>
  <c r="G28" i="2"/>
  <c r="I28" i="2" s="1"/>
  <c r="Q28" i="2" s="1"/>
  <c r="C28" i="2"/>
  <c r="S27" i="2"/>
  <c r="H27" i="2"/>
  <c r="G27" i="2"/>
  <c r="I27" i="2" s="1"/>
  <c r="Q27" i="2" s="1"/>
  <c r="C27" i="2"/>
  <c r="S26" i="2"/>
  <c r="H26" i="2"/>
  <c r="I26" i="2" s="1"/>
  <c r="Q26" i="2" s="1"/>
  <c r="C26" i="2"/>
  <c r="T25" i="2"/>
  <c r="S25" i="2"/>
  <c r="H25" i="2"/>
  <c r="G25" i="2"/>
  <c r="I25" i="2" s="1"/>
  <c r="Q25" i="2" s="1"/>
  <c r="C25" i="2"/>
  <c r="T24" i="2"/>
  <c r="S24" i="2"/>
  <c r="H24" i="2"/>
  <c r="G24" i="2"/>
  <c r="I24" i="2" s="1"/>
  <c r="Q24" i="2" s="1"/>
  <c r="C24" i="2"/>
  <c r="S23" i="2"/>
  <c r="H23" i="2"/>
  <c r="G23" i="2"/>
  <c r="I23" i="2" s="1"/>
  <c r="Q23" i="2" s="1"/>
  <c r="C23" i="2"/>
  <c r="T22" i="2"/>
  <c r="T41" i="2" s="1"/>
  <c r="I52" i="2" s="1"/>
  <c r="S22" i="2"/>
  <c r="H22" i="2"/>
  <c r="G22" i="2"/>
  <c r="I22" i="2" s="1"/>
  <c r="Q22" i="2" s="1"/>
  <c r="Q39" i="2" s="1"/>
  <c r="C22" i="2"/>
  <c r="H21" i="2"/>
  <c r="H40" i="2" s="1"/>
  <c r="N41" i="2" s="1"/>
  <c r="G21" i="2"/>
  <c r="G40" i="2" s="1"/>
  <c r="L41" i="2" s="1"/>
  <c r="I20" i="2"/>
  <c r="J13" i="2"/>
  <c r="I13" i="2"/>
  <c r="H13" i="2"/>
  <c r="G13" i="2"/>
  <c r="L11" i="2"/>
  <c r="J11" i="2"/>
  <c r="E63" i="2" s="1"/>
  <c r="I11" i="2"/>
  <c r="H11" i="2"/>
  <c r="G11" i="2"/>
  <c r="F11" i="2"/>
  <c r="E11" i="2"/>
  <c r="E8" i="2"/>
  <c r="G7" i="2"/>
  <c r="E7" i="2"/>
  <c r="G6" i="2"/>
  <c r="E6" i="2"/>
  <c r="N5" i="2"/>
  <c r="G5" i="2"/>
  <c r="E20" i="2" l="1"/>
  <c r="E12" i="2" s="1"/>
  <c r="N11" i="2"/>
  <c r="E21" i="2"/>
  <c r="F12" i="2" s="1"/>
  <c r="F15" i="2" s="1"/>
  <c r="C29" i="2"/>
  <c r="C39" i="2" s="1"/>
  <c r="B40" i="2"/>
  <c r="J5" i="2" s="1"/>
  <c r="E40" i="2"/>
  <c r="Q29" i="2"/>
  <c r="I46" i="2"/>
  <c r="I51" i="2" s="1"/>
  <c r="G51" i="2"/>
  <c r="L52" i="2" s="1"/>
  <c r="J12" i="2"/>
  <c r="J15" i="2" s="1"/>
  <c r="K63" i="2"/>
  <c r="G8" i="3"/>
  <c r="E63" i="3"/>
  <c r="J15" i="3"/>
  <c r="E13" i="3"/>
  <c r="E14" i="3" s="1"/>
  <c r="G40" i="3"/>
  <c r="I21" i="3"/>
  <c r="I40" i="3" s="1"/>
  <c r="B40" i="3"/>
  <c r="J5" i="3" s="1"/>
  <c r="E40" i="3"/>
  <c r="Q27" i="3"/>
  <c r="E20" i="4"/>
  <c r="E12" i="4" s="1"/>
  <c r="E15" i="4" s="1"/>
  <c r="N15" i="4" s="1"/>
  <c r="N11" i="4"/>
  <c r="E21" i="4"/>
  <c r="F12" i="4" s="1"/>
  <c r="F13" i="4" s="1"/>
  <c r="F15" i="4"/>
  <c r="G40" i="4"/>
  <c r="L41" i="4" s="1"/>
  <c r="I21" i="4"/>
  <c r="I40" i="4" s="1"/>
  <c r="I49" i="4"/>
  <c r="I13" i="4"/>
  <c r="G8" i="5"/>
  <c r="E20" i="5"/>
  <c r="E12" i="5" s="1"/>
  <c r="N11" i="5"/>
  <c r="E63" i="5"/>
  <c r="J15" i="5"/>
  <c r="G40" i="5"/>
  <c r="I21" i="5"/>
  <c r="J5" i="5"/>
  <c r="E40" i="5"/>
  <c r="F22" i="5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Q23" i="5"/>
  <c r="Q39" i="5" s="1"/>
  <c r="S24" i="5"/>
  <c r="Q24" i="5"/>
  <c r="S30" i="5"/>
  <c r="G8" i="6"/>
  <c r="E13" i="6"/>
  <c r="N12" i="6"/>
  <c r="G40" i="6"/>
  <c r="L41" i="6" s="1"/>
  <c r="I21" i="6"/>
  <c r="C22" i="6"/>
  <c r="C39" i="6" s="1"/>
  <c r="B40" i="6"/>
  <c r="J5" i="6" s="1"/>
  <c r="E40" i="6"/>
  <c r="Q22" i="6"/>
  <c r="Q39" i="6" s="1"/>
  <c r="S22" i="6" s="1"/>
  <c r="S41" i="6" s="1"/>
  <c r="F22" i="6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S24" i="6"/>
  <c r="Q24" i="6"/>
  <c r="S29" i="6"/>
  <c r="Q29" i="6"/>
  <c r="G51" i="6"/>
  <c r="L52" i="6" s="1"/>
  <c r="I46" i="6"/>
  <c r="I51" i="6" s="1"/>
  <c r="I12" i="6" s="1"/>
  <c r="I13" i="6"/>
  <c r="N52" i="6"/>
  <c r="H12" i="7"/>
  <c r="H14" i="7" s="1"/>
  <c r="K52" i="7"/>
  <c r="G8" i="8"/>
  <c r="E20" i="8"/>
  <c r="E12" i="8" s="1"/>
  <c r="E13" i="8" s="1"/>
  <c r="N13" i="8" s="1"/>
  <c r="N11" i="8"/>
  <c r="G40" i="8"/>
  <c r="L41" i="8" s="1"/>
  <c r="I21" i="8"/>
  <c r="E40" i="8"/>
  <c r="Q22" i="8"/>
  <c r="Q39" i="8" s="1"/>
  <c r="S32" i="8" s="1"/>
  <c r="S30" i="8"/>
  <c r="S38" i="8"/>
  <c r="L12" i="8"/>
  <c r="L14" i="8" s="1"/>
  <c r="K74" i="8"/>
  <c r="N11" i="9"/>
  <c r="E74" i="9"/>
  <c r="L15" i="9"/>
  <c r="Q26" i="9"/>
  <c r="E40" i="9"/>
  <c r="E41" i="9" s="1"/>
  <c r="G15" i="9" s="1"/>
  <c r="I46" i="9"/>
  <c r="I51" i="9" s="1"/>
  <c r="H51" i="9"/>
  <c r="N52" i="9" s="1"/>
  <c r="I49" i="9"/>
  <c r="H8" i="10"/>
  <c r="J21" i="10"/>
  <c r="H41" i="10"/>
  <c r="M42" i="10" s="1"/>
  <c r="A25" i="10"/>
  <c r="D25" i="10"/>
  <c r="T42" i="10"/>
  <c r="A32" i="10"/>
  <c r="R32" i="10"/>
  <c r="J50" i="10"/>
  <c r="J13" i="10"/>
  <c r="E52" i="11"/>
  <c r="H15" i="11"/>
  <c r="G40" i="11"/>
  <c r="L41" i="11" s="1"/>
  <c r="I21" i="11"/>
  <c r="I40" i="11" s="1"/>
  <c r="B40" i="11"/>
  <c r="J5" i="11" s="1"/>
  <c r="C24" i="11"/>
  <c r="C39" i="11" s="1"/>
  <c r="E40" i="11"/>
  <c r="Q24" i="11"/>
  <c r="G51" i="11"/>
  <c r="L52" i="11" s="1"/>
  <c r="I46" i="11"/>
  <c r="I51" i="11" s="1"/>
  <c r="I48" i="11"/>
  <c r="I8" i="12"/>
  <c r="G20" i="12"/>
  <c r="G12" i="12" s="1"/>
  <c r="G15" i="12"/>
  <c r="P15" i="12" s="1"/>
  <c r="I40" i="12"/>
  <c r="N41" i="12" s="1"/>
  <c r="K21" i="12"/>
  <c r="K40" i="12" s="1"/>
  <c r="D23" i="12"/>
  <c r="S23" i="12"/>
  <c r="D24" i="12"/>
  <c r="S24" i="12"/>
  <c r="D27" i="12"/>
  <c r="S27" i="12"/>
  <c r="B30" i="12"/>
  <c r="E30" i="12"/>
  <c r="K13" i="12"/>
  <c r="J12" i="12"/>
  <c r="M52" i="12"/>
  <c r="K47" i="12"/>
  <c r="L12" i="12"/>
  <c r="M63" i="12"/>
  <c r="G8" i="13"/>
  <c r="E20" i="13"/>
  <c r="E12" i="13" s="1"/>
  <c r="E13" i="13" s="1"/>
  <c r="N13" i="13" s="1"/>
  <c r="N11" i="13"/>
  <c r="G40" i="13"/>
  <c r="L41" i="13" s="1"/>
  <c r="I21" i="13"/>
  <c r="I40" i="13" s="1"/>
  <c r="C22" i="13"/>
  <c r="C39" i="13" s="1"/>
  <c r="B40" i="13"/>
  <c r="J5" i="13" s="1"/>
  <c r="E40" i="13"/>
  <c r="Q22" i="13"/>
  <c r="Q39" i="13" s="1"/>
  <c r="F22" i="13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G8" i="14"/>
  <c r="E63" i="14"/>
  <c r="J15" i="14"/>
  <c r="E74" i="14"/>
  <c r="L15" i="14"/>
  <c r="B40" i="14"/>
  <c r="J5" i="14" s="1"/>
  <c r="C22" i="14"/>
  <c r="C39" i="14" s="1"/>
  <c r="G8" i="15"/>
  <c r="B40" i="15"/>
  <c r="J5" i="15" s="1"/>
  <c r="C22" i="15"/>
  <c r="C39" i="15" s="1"/>
  <c r="I46" i="15"/>
  <c r="I51" i="15" s="1"/>
  <c r="I12" i="15" s="1"/>
  <c r="G51" i="15"/>
  <c r="L52" i="15" s="1"/>
  <c r="E21" i="16"/>
  <c r="F12" i="16" s="1"/>
  <c r="F15" i="16"/>
  <c r="G40" i="16"/>
  <c r="L41" i="16" s="1"/>
  <c r="I21" i="16"/>
  <c r="J5" i="16"/>
  <c r="I13" i="16"/>
  <c r="G51" i="16"/>
  <c r="L52" i="16" s="1"/>
  <c r="I46" i="16"/>
  <c r="I51" i="16" s="1"/>
  <c r="E20" i="17"/>
  <c r="E12" i="17" s="1"/>
  <c r="N11" i="17"/>
  <c r="B40" i="17"/>
  <c r="J5" i="17" s="1"/>
  <c r="C22" i="17"/>
  <c r="C39" i="17" s="1"/>
  <c r="F22" i="17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F33" i="17" s="1"/>
  <c r="F34" i="17" s="1"/>
  <c r="F35" i="17" s="1"/>
  <c r="F36" i="17" s="1"/>
  <c r="F37" i="17" s="1"/>
  <c r="F38" i="17" s="1"/>
  <c r="E40" i="17"/>
  <c r="Q22" i="17"/>
  <c r="Q39" i="17" s="1"/>
  <c r="I41" i="17"/>
  <c r="U41" i="17"/>
  <c r="I47" i="17"/>
  <c r="I49" i="17"/>
  <c r="G8" i="18"/>
  <c r="G40" i="18"/>
  <c r="L41" i="18" s="1"/>
  <c r="I21" i="18"/>
  <c r="B40" i="18"/>
  <c r="J5" i="18" s="1"/>
  <c r="C22" i="18"/>
  <c r="C39" i="18" s="1"/>
  <c r="F22" i="18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E40" i="18"/>
  <c r="Q22" i="18"/>
  <c r="Q39" i="18" s="1"/>
  <c r="I46" i="18"/>
  <c r="I51" i="18" s="1"/>
  <c r="I12" i="18" s="1"/>
  <c r="I14" i="18" s="1"/>
  <c r="G51" i="18"/>
  <c r="L52" i="18" s="1"/>
  <c r="E21" i="19"/>
  <c r="F12" i="19" s="1"/>
  <c r="F15" i="19"/>
  <c r="B40" i="19"/>
  <c r="C22" i="19"/>
  <c r="C39" i="19" s="1"/>
  <c r="S41" i="19"/>
  <c r="G51" i="19"/>
  <c r="L52" i="19" s="1"/>
  <c r="I46" i="19"/>
  <c r="I51" i="19" s="1"/>
  <c r="I12" i="19" s="1"/>
  <c r="I14" i="19" s="1"/>
  <c r="N52" i="19"/>
  <c r="G8" i="20"/>
  <c r="E20" i="20"/>
  <c r="E12" i="20" s="1"/>
  <c r="N11" i="20"/>
  <c r="E21" i="20"/>
  <c r="F12" i="20" s="1"/>
  <c r="F15" i="20"/>
  <c r="E74" i="20"/>
  <c r="L15" i="20"/>
  <c r="G40" i="20"/>
  <c r="L41" i="20" s="1"/>
  <c r="I21" i="20"/>
  <c r="S41" i="20"/>
  <c r="I41" i="20" s="1"/>
  <c r="I13" i="20"/>
  <c r="I46" i="20"/>
  <c r="I51" i="20" s="1"/>
  <c r="I12" i="20" s="1"/>
  <c r="G51" i="20"/>
  <c r="L52" i="20" s="1"/>
  <c r="G40" i="21"/>
  <c r="L41" i="21" s="1"/>
  <c r="I21" i="21"/>
  <c r="G51" i="21"/>
  <c r="L52" i="21" s="1"/>
  <c r="I46" i="21"/>
  <c r="I51" i="21" s="1"/>
  <c r="I12" i="21" s="1"/>
  <c r="I14" i="21" s="1"/>
  <c r="E20" i="22"/>
  <c r="E12" i="22" s="1"/>
  <c r="N11" i="22"/>
  <c r="L14" i="22"/>
  <c r="G40" i="22"/>
  <c r="L41" i="22" s="1"/>
  <c r="I21" i="22"/>
  <c r="J5" i="22"/>
  <c r="G51" i="22"/>
  <c r="L52" i="22" s="1"/>
  <c r="I46" i="22"/>
  <c r="I51" i="22" s="1"/>
  <c r="E20" i="23"/>
  <c r="N11" i="23"/>
  <c r="G40" i="23"/>
  <c r="L41" i="23" s="1"/>
  <c r="I21" i="23"/>
  <c r="J5" i="23"/>
  <c r="I48" i="23"/>
  <c r="J12" i="23"/>
  <c r="K63" i="23"/>
  <c r="E20" i="24"/>
  <c r="N11" i="24"/>
  <c r="J5" i="24"/>
  <c r="E40" i="24"/>
  <c r="K41" i="24" s="1"/>
  <c r="Q22" i="24"/>
  <c r="Q39" i="24" s="1"/>
  <c r="F22" i="24"/>
  <c r="F23" i="24" s="1"/>
  <c r="F24" i="24" s="1"/>
  <c r="F25" i="24" s="1"/>
  <c r="F26" i="24" s="1"/>
  <c r="F27" i="24" s="1"/>
  <c r="F28" i="24" s="1"/>
  <c r="F29" i="24" s="1"/>
  <c r="F30" i="24" s="1"/>
  <c r="F31" i="24" s="1"/>
  <c r="F32" i="24" s="1"/>
  <c r="F33" i="24" s="1"/>
  <c r="F34" i="24" s="1"/>
  <c r="F35" i="24" s="1"/>
  <c r="F36" i="24" s="1"/>
  <c r="F37" i="24" s="1"/>
  <c r="F38" i="24" s="1"/>
  <c r="G51" i="24"/>
  <c r="I46" i="24"/>
  <c r="I51" i="24" s="1"/>
  <c r="I13" i="24"/>
  <c r="L14" i="24"/>
  <c r="G8" i="25"/>
  <c r="J15" i="25"/>
  <c r="J14" i="25"/>
  <c r="G40" i="25"/>
  <c r="L41" i="25" s="1"/>
  <c r="I21" i="25"/>
  <c r="J5" i="25"/>
  <c r="G8" i="26"/>
  <c r="E20" i="26"/>
  <c r="E12" i="26" s="1"/>
  <c r="N11" i="26"/>
  <c r="E21" i="26"/>
  <c r="F12" i="26" s="1"/>
  <c r="F13" i="26" s="1"/>
  <c r="F15" i="26"/>
  <c r="E63" i="26"/>
  <c r="J15" i="26"/>
  <c r="E74" i="26"/>
  <c r="L15" i="26"/>
  <c r="G40" i="26"/>
  <c r="L41" i="26" s="1"/>
  <c r="I21" i="26"/>
  <c r="F22" i="26"/>
  <c r="F23" i="26" s="1"/>
  <c r="F24" i="26" s="1"/>
  <c r="F25" i="26" s="1"/>
  <c r="F26" i="26" s="1"/>
  <c r="F27" i="26" s="1"/>
  <c r="F28" i="26" s="1"/>
  <c r="F29" i="26" s="1"/>
  <c r="F30" i="26" s="1"/>
  <c r="F31" i="26" s="1"/>
  <c r="F32" i="26" s="1"/>
  <c r="F33" i="26" s="1"/>
  <c r="F34" i="26" s="1"/>
  <c r="F35" i="26" s="1"/>
  <c r="F36" i="26" s="1"/>
  <c r="F37" i="26" s="1"/>
  <c r="F38" i="26" s="1"/>
  <c r="Q22" i="26"/>
  <c r="Q39" i="26" s="1"/>
  <c r="Q31" i="26"/>
  <c r="S31" i="26"/>
  <c r="G51" i="26"/>
  <c r="L52" i="26" s="1"/>
  <c r="I46" i="26"/>
  <c r="I51" i="26" s="1"/>
  <c r="I12" i="26" s="1"/>
  <c r="G8" i="27"/>
  <c r="G40" i="27"/>
  <c r="M21" i="27"/>
  <c r="I21" i="27"/>
  <c r="J5" i="27"/>
  <c r="H40" i="27"/>
  <c r="O22" i="27"/>
  <c r="N40" i="27" s="1"/>
  <c r="M28" i="27"/>
  <c r="I28" i="27"/>
  <c r="Q29" i="27"/>
  <c r="K29" i="27"/>
  <c r="M29" i="27"/>
  <c r="I29" i="27"/>
  <c r="I30" i="27"/>
  <c r="M30" i="27"/>
  <c r="K31" i="27"/>
  <c r="Q31" i="27"/>
  <c r="Q32" i="27"/>
  <c r="K32" i="27"/>
  <c r="M32" i="27"/>
  <c r="I32" i="27"/>
  <c r="K33" i="27"/>
  <c r="Q33" i="27"/>
  <c r="Q34" i="27"/>
  <c r="K34" i="27"/>
  <c r="M34" i="27"/>
  <c r="I34" i="27"/>
  <c r="Q35" i="27"/>
  <c r="K35" i="27"/>
  <c r="M35" i="27"/>
  <c r="I35" i="27"/>
  <c r="Q36" i="27"/>
  <c r="K36" i="27"/>
  <c r="I36" i="27"/>
  <c r="M36" i="27"/>
  <c r="M37" i="27"/>
  <c r="I37" i="27"/>
  <c r="Q38" i="27"/>
  <c r="K38" i="27"/>
  <c r="M38" i="27"/>
  <c r="I38" i="27"/>
  <c r="E51" i="27"/>
  <c r="K46" i="27"/>
  <c r="K51" i="27" s="1"/>
  <c r="H13" i="27" s="1"/>
  <c r="I46" i="27"/>
  <c r="I51" i="27" s="1"/>
  <c r="G51" i="27"/>
  <c r="M46" i="27"/>
  <c r="L51" i="27" s="1"/>
  <c r="H51" i="27"/>
  <c r="O46" i="27"/>
  <c r="N51" i="27" s="1"/>
  <c r="I48" i="27"/>
  <c r="O48" i="27"/>
  <c r="E73" i="27"/>
  <c r="K68" i="27"/>
  <c r="K73" i="27" s="1"/>
  <c r="L13" i="27" s="1"/>
  <c r="G8" i="28"/>
  <c r="E20" i="28"/>
  <c r="E12" i="28" s="1"/>
  <c r="N12" i="28" s="1"/>
  <c r="N11" i="28"/>
  <c r="J5" i="28"/>
  <c r="I13" i="28"/>
  <c r="G51" i="28"/>
  <c r="L52" i="28" s="1"/>
  <c r="I46" i="28"/>
  <c r="I51" i="28" s="1"/>
  <c r="E12" i="29"/>
  <c r="N12" i="29" s="1"/>
  <c r="K20" i="29"/>
  <c r="E13" i="29" s="1"/>
  <c r="N13" i="29" s="1"/>
  <c r="G40" i="29"/>
  <c r="M21" i="29"/>
  <c r="I21" i="29"/>
  <c r="E40" i="29"/>
  <c r="G12" i="29" s="1"/>
  <c r="Q22" i="29"/>
  <c r="Q39" i="29" s="1"/>
  <c r="K22" i="29"/>
  <c r="K40" i="29" s="1"/>
  <c r="F22" i="29"/>
  <c r="F23" i="29" s="1"/>
  <c r="F24" i="29" s="1"/>
  <c r="F25" i="29" s="1"/>
  <c r="F26" i="29" s="1"/>
  <c r="F27" i="29" s="1"/>
  <c r="F28" i="29" s="1"/>
  <c r="F29" i="29" s="1"/>
  <c r="F30" i="29" s="1"/>
  <c r="F31" i="29" s="1"/>
  <c r="F32" i="29" s="1"/>
  <c r="F33" i="29" s="1"/>
  <c r="F34" i="29" s="1"/>
  <c r="F35" i="29" s="1"/>
  <c r="F36" i="29" s="1"/>
  <c r="F37" i="29" s="1"/>
  <c r="F38" i="29" s="1"/>
  <c r="M22" i="29"/>
  <c r="L40" i="29" s="1"/>
  <c r="I22" i="29"/>
  <c r="I40" i="29" s="1"/>
  <c r="H40" i="29"/>
  <c r="O22" i="29"/>
  <c r="Q23" i="29"/>
  <c r="K23" i="29"/>
  <c r="M23" i="29"/>
  <c r="I23" i="29"/>
  <c r="Q24" i="29"/>
  <c r="K24" i="29"/>
  <c r="M24" i="29"/>
  <c r="I24" i="29"/>
  <c r="Q25" i="29"/>
  <c r="K25" i="29"/>
  <c r="M25" i="29"/>
  <c r="I25" i="29"/>
  <c r="Q26" i="29"/>
  <c r="K26" i="29"/>
  <c r="M26" i="29"/>
  <c r="I26" i="29"/>
  <c r="Q27" i="29"/>
  <c r="K27" i="29"/>
  <c r="I28" i="29"/>
  <c r="M28" i="29"/>
  <c r="M29" i="29"/>
  <c r="I29" i="29"/>
  <c r="Q30" i="29"/>
  <c r="K30" i="29"/>
  <c r="Q32" i="29"/>
  <c r="K32" i="29"/>
  <c r="Q33" i="29"/>
  <c r="K33" i="29"/>
  <c r="Q34" i="29"/>
  <c r="K34" i="29"/>
  <c r="M34" i="29"/>
  <c r="I34" i="29"/>
  <c r="Q35" i="29"/>
  <c r="K35" i="29"/>
  <c r="M35" i="29"/>
  <c r="I35" i="29"/>
  <c r="Q36" i="29"/>
  <c r="K36" i="29"/>
  <c r="K37" i="29"/>
  <c r="Q37" i="29"/>
  <c r="I37" i="29"/>
  <c r="M37" i="29"/>
  <c r="K38" i="29"/>
  <c r="Q38" i="29"/>
  <c r="M38" i="29"/>
  <c r="I38" i="29"/>
  <c r="E51" i="29"/>
  <c r="K46" i="29"/>
  <c r="K51" i="29" s="1"/>
  <c r="H13" i="29" s="1"/>
  <c r="H51" i="29"/>
  <c r="O46" i="29"/>
  <c r="N51" i="29" s="1"/>
  <c r="M47" i="29"/>
  <c r="I47" i="29"/>
  <c r="K21" i="30"/>
  <c r="F12" i="30"/>
  <c r="J5" i="30"/>
  <c r="E40" i="30"/>
  <c r="Q22" i="30"/>
  <c r="Q39" i="30" s="1"/>
  <c r="K22" i="30"/>
  <c r="K40" i="30" s="1"/>
  <c r="G13" i="30" s="1"/>
  <c r="F22" i="30"/>
  <c r="F23" i="30" s="1"/>
  <c r="F24" i="30" s="1"/>
  <c r="F25" i="30" s="1"/>
  <c r="F26" i="30" s="1"/>
  <c r="F27" i="30" s="1"/>
  <c r="F28" i="30" s="1"/>
  <c r="F29" i="30" s="1"/>
  <c r="F30" i="30" s="1"/>
  <c r="F31" i="30" s="1"/>
  <c r="F32" i="30" s="1"/>
  <c r="F33" i="30" s="1"/>
  <c r="F34" i="30" s="1"/>
  <c r="F35" i="30" s="1"/>
  <c r="F36" i="30" s="1"/>
  <c r="F37" i="30" s="1"/>
  <c r="F38" i="30" s="1"/>
  <c r="M22" i="30"/>
  <c r="L40" i="30" s="1"/>
  <c r="L41" i="30" s="1"/>
  <c r="I22" i="30"/>
  <c r="I40" i="30" s="1"/>
  <c r="H40" i="30"/>
  <c r="O22" i="30"/>
  <c r="Q23" i="30"/>
  <c r="K23" i="30"/>
  <c r="M23" i="30"/>
  <c r="I23" i="30"/>
  <c r="Q24" i="30"/>
  <c r="K24" i="30"/>
  <c r="M24" i="30"/>
  <c r="I24" i="30"/>
  <c r="Q25" i="30"/>
  <c r="K25" i="30"/>
  <c r="M25" i="30"/>
  <c r="I25" i="30"/>
  <c r="Q26" i="30"/>
  <c r="K26" i="30"/>
  <c r="M26" i="30"/>
  <c r="I26" i="30"/>
  <c r="Q27" i="30"/>
  <c r="K27" i="30"/>
  <c r="K28" i="30"/>
  <c r="Q28" i="30"/>
  <c r="I28" i="30"/>
  <c r="M28" i="30"/>
  <c r="K29" i="30"/>
  <c r="Q29" i="30"/>
  <c r="M29" i="30"/>
  <c r="I29" i="30"/>
  <c r="Q30" i="30"/>
  <c r="K30" i="30"/>
  <c r="I31" i="30"/>
  <c r="M31" i="30"/>
  <c r="M32" i="30"/>
  <c r="I32" i="30"/>
  <c r="Q33" i="30"/>
  <c r="K33" i="30"/>
  <c r="Q35" i="30"/>
  <c r="K35" i="30"/>
  <c r="Q36" i="30"/>
  <c r="K36" i="30"/>
  <c r="Q37" i="30"/>
  <c r="K37" i="30"/>
  <c r="M37" i="30"/>
  <c r="I37" i="30"/>
  <c r="Q38" i="30"/>
  <c r="K38" i="30"/>
  <c r="M38" i="30"/>
  <c r="I38" i="30"/>
  <c r="E51" i="30"/>
  <c r="K46" i="30"/>
  <c r="K51" i="30" s="1"/>
  <c r="H13" i="30" s="1"/>
  <c r="M47" i="30"/>
  <c r="I47" i="30"/>
  <c r="E62" i="30"/>
  <c r="K57" i="30"/>
  <c r="K62" i="30" s="1"/>
  <c r="J13" i="30" s="1"/>
  <c r="E73" i="30"/>
  <c r="L12" i="30" s="1"/>
  <c r="K68" i="30"/>
  <c r="K73" i="30" s="1"/>
  <c r="L13" i="30" s="1"/>
  <c r="L14" i="30" s="1"/>
  <c r="K21" i="31"/>
  <c r="F12" i="31"/>
  <c r="M21" i="31"/>
  <c r="G40" i="31"/>
  <c r="L41" i="31" s="1"/>
  <c r="I21" i="31"/>
  <c r="J5" i="31"/>
  <c r="E40" i="31"/>
  <c r="Q22" i="31"/>
  <c r="Q39" i="31" s="1"/>
  <c r="K22" i="31"/>
  <c r="K40" i="31" s="1"/>
  <c r="G13" i="31" s="1"/>
  <c r="F22" i="3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H40" i="31"/>
  <c r="O22" i="31"/>
  <c r="Q23" i="31"/>
  <c r="K23" i="31"/>
  <c r="Q24" i="31"/>
  <c r="K24" i="31"/>
  <c r="Q25" i="31"/>
  <c r="K25" i="31"/>
  <c r="Q26" i="31"/>
  <c r="K26" i="31"/>
  <c r="Q27" i="31"/>
  <c r="K27" i="31"/>
  <c r="Q28" i="31"/>
  <c r="K28" i="31"/>
  <c r="M28" i="31"/>
  <c r="I28" i="31"/>
  <c r="Q29" i="31"/>
  <c r="K29" i="31"/>
  <c r="M29" i="31"/>
  <c r="I29" i="31"/>
  <c r="Q30" i="31"/>
  <c r="K30" i="31"/>
  <c r="I30" i="31"/>
  <c r="M30" i="31"/>
  <c r="K31" i="31"/>
  <c r="Q31" i="31"/>
  <c r="I31" i="31"/>
  <c r="M31" i="31"/>
  <c r="K32" i="31"/>
  <c r="Q32" i="31"/>
  <c r="M32" i="31"/>
  <c r="I32" i="31"/>
  <c r="K33" i="31"/>
  <c r="Q33" i="31"/>
  <c r="I34" i="31"/>
  <c r="M34" i="31"/>
  <c r="M35" i="31"/>
  <c r="I35" i="31"/>
  <c r="Q36" i="31"/>
  <c r="K36" i="31"/>
  <c r="Q38" i="31"/>
  <c r="K38" i="31"/>
  <c r="K46" i="31"/>
  <c r="K51" i="31" s="1"/>
  <c r="H13" i="31" s="1"/>
  <c r="E51" i="31"/>
  <c r="M47" i="31"/>
  <c r="I47" i="31"/>
  <c r="M49" i="31"/>
  <c r="I49" i="31"/>
  <c r="K68" i="31"/>
  <c r="K73" i="31" s="1"/>
  <c r="L13" i="31" s="1"/>
  <c r="E73" i="31"/>
  <c r="L12" i="31" s="1"/>
  <c r="Z11" i="33"/>
  <c r="Z9" i="33"/>
  <c r="AA18" i="33"/>
  <c r="AC18" i="33"/>
  <c r="S22" i="4"/>
  <c r="S41" i="4" s="1"/>
  <c r="S28" i="4"/>
  <c r="S36" i="4"/>
  <c r="S23" i="4"/>
  <c r="S31" i="4"/>
  <c r="S26" i="4"/>
  <c r="N12" i="2"/>
  <c r="E15" i="2"/>
  <c r="N15" i="2" s="1"/>
  <c r="E13" i="2"/>
  <c r="N13" i="2" s="1"/>
  <c r="N13" i="6"/>
  <c r="E14" i="6"/>
  <c r="N14" i="6" s="1"/>
  <c r="F15" i="3"/>
  <c r="N15" i="3" s="1"/>
  <c r="L41" i="3"/>
  <c r="L14" i="4"/>
  <c r="S24" i="4"/>
  <c r="S33" i="4"/>
  <c r="S32" i="5"/>
  <c r="Q32" i="5"/>
  <c r="S33" i="6"/>
  <c r="S37" i="2"/>
  <c r="S33" i="2"/>
  <c r="U41" i="19"/>
  <c r="I41" i="19"/>
  <c r="L12" i="2"/>
  <c r="L14" i="2" s="1"/>
  <c r="K74" i="2"/>
  <c r="S37" i="3"/>
  <c r="G12" i="5"/>
  <c r="G14" i="5" s="1"/>
  <c r="K41" i="5"/>
  <c r="S36" i="2"/>
  <c r="Q36" i="2"/>
  <c r="H12" i="4"/>
  <c r="H14" i="4" s="1"/>
  <c r="K52" i="4"/>
  <c r="S31" i="3"/>
  <c r="S25" i="3"/>
  <c r="S27" i="3"/>
  <c r="S26" i="3"/>
  <c r="S22" i="3"/>
  <c r="S41" i="3" s="1"/>
  <c r="S35" i="3"/>
  <c r="S36" i="3"/>
  <c r="S32" i="3"/>
  <c r="S28" i="3"/>
  <c r="S24" i="3"/>
  <c r="S23" i="3"/>
  <c r="S33" i="3"/>
  <c r="N12" i="5"/>
  <c r="E13" i="5"/>
  <c r="N11" i="11"/>
  <c r="E20" i="11"/>
  <c r="S32" i="2"/>
  <c r="Q32" i="2"/>
  <c r="S29" i="3"/>
  <c r="S25" i="4"/>
  <c r="Q25" i="4"/>
  <c r="F13" i="6"/>
  <c r="J7" i="6" s="1"/>
  <c r="A28" i="10"/>
  <c r="R28" i="10"/>
  <c r="S38" i="2"/>
  <c r="K41" i="3"/>
  <c r="E41" i="3"/>
  <c r="G15" i="3" s="1"/>
  <c r="J14" i="2"/>
  <c r="H15" i="3"/>
  <c r="S34" i="2"/>
  <c r="H15" i="4"/>
  <c r="S34" i="4"/>
  <c r="E52" i="4"/>
  <c r="S26" i="5"/>
  <c r="Q26" i="5"/>
  <c r="G12" i="3"/>
  <c r="G14" i="3" s="1"/>
  <c r="S30" i="4"/>
  <c r="E15" i="5"/>
  <c r="N15" i="5" s="1"/>
  <c r="J14" i="6"/>
  <c r="S35" i="6"/>
  <c r="Q35" i="6"/>
  <c r="L15" i="2"/>
  <c r="S30" i="2"/>
  <c r="S41" i="2" s="1"/>
  <c r="S35" i="2"/>
  <c r="S34" i="3"/>
  <c r="N12" i="4"/>
  <c r="E13" i="4"/>
  <c r="J12" i="4"/>
  <c r="J14" i="4" s="1"/>
  <c r="K63" i="4"/>
  <c r="I41" i="6"/>
  <c r="U41" i="6"/>
  <c r="F13" i="7"/>
  <c r="G12" i="2"/>
  <c r="G14" i="2" s="1"/>
  <c r="K41" i="2"/>
  <c r="E41" i="2"/>
  <c r="G15" i="2" s="1"/>
  <c r="F13" i="3"/>
  <c r="N13" i="3" s="1"/>
  <c r="N12" i="3"/>
  <c r="F14" i="3"/>
  <c r="N14" i="3" s="1"/>
  <c r="S30" i="3"/>
  <c r="S37" i="4"/>
  <c r="Q37" i="4"/>
  <c r="L12" i="5"/>
  <c r="L14" i="5" s="1"/>
  <c r="K74" i="5"/>
  <c r="G40" i="7"/>
  <c r="L41" i="7" s="1"/>
  <c r="I21" i="7"/>
  <c r="S31" i="2"/>
  <c r="L14" i="3"/>
  <c r="K63" i="3"/>
  <c r="J13" i="3"/>
  <c r="J14" i="3" s="1"/>
  <c r="F14" i="5"/>
  <c r="S27" i="5"/>
  <c r="Q38" i="5"/>
  <c r="S38" i="5"/>
  <c r="E52" i="5"/>
  <c r="F22" i="2"/>
  <c r="G8" i="2"/>
  <c r="F13" i="2"/>
  <c r="K52" i="2"/>
  <c r="H12" i="2"/>
  <c r="H14" i="2" s="1"/>
  <c r="H51" i="2"/>
  <c r="N52" i="2" s="1"/>
  <c r="N41" i="3"/>
  <c r="F14" i="4"/>
  <c r="S38" i="3"/>
  <c r="I47" i="3"/>
  <c r="S35" i="4"/>
  <c r="Q35" i="4"/>
  <c r="E41" i="5"/>
  <c r="G15" i="5" s="1"/>
  <c r="S28" i="5"/>
  <c r="S34" i="5"/>
  <c r="I47" i="5"/>
  <c r="S26" i="6"/>
  <c r="Q26" i="6"/>
  <c r="H12" i="6"/>
  <c r="H14" i="6" s="1"/>
  <c r="K52" i="6"/>
  <c r="K63" i="6"/>
  <c r="E52" i="8"/>
  <c r="F26" i="9"/>
  <c r="S32" i="4"/>
  <c r="Q32" i="4"/>
  <c r="F15" i="5"/>
  <c r="Q27" i="5"/>
  <c r="Q30" i="5"/>
  <c r="K41" i="6"/>
  <c r="G12" i="6"/>
  <c r="G14" i="6" s="1"/>
  <c r="L15" i="7"/>
  <c r="L14" i="7"/>
  <c r="T25" i="8"/>
  <c r="I49" i="8"/>
  <c r="F41" i="10"/>
  <c r="R22" i="10"/>
  <c r="R40" i="10" s="1"/>
  <c r="AD28" i="10"/>
  <c r="AD33" i="10" s="1"/>
  <c r="AD37" i="10" s="1"/>
  <c r="J28" i="10"/>
  <c r="E74" i="2"/>
  <c r="L15" i="3"/>
  <c r="E52" i="3"/>
  <c r="E40" i="4"/>
  <c r="E74" i="5"/>
  <c r="F15" i="6"/>
  <c r="S23" i="6"/>
  <c r="S30" i="6"/>
  <c r="Q30" i="6"/>
  <c r="H12" i="8"/>
  <c r="H14" i="8" s="1"/>
  <c r="K52" i="8"/>
  <c r="E40" i="15"/>
  <c r="Q22" i="15"/>
  <c r="Q39" i="15" s="1"/>
  <c r="S36" i="5"/>
  <c r="J13" i="7"/>
  <c r="J14" i="7" s="1"/>
  <c r="K63" i="7"/>
  <c r="F37" i="9"/>
  <c r="F33" i="9"/>
  <c r="F29" i="9"/>
  <c r="F38" i="9"/>
  <c r="F23" i="9"/>
  <c r="F35" i="9"/>
  <c r="F27" i="9"/>
  <c r="F24" i="9"/>
  <c r="F30" i="9"/>
  <c r="F36" i="9"/>
  <c r="F28" i="9"/>
  <c r="F31" i="9"/>
  <c r="F25" i="9"/>
  <c r="I41" i="9"/>
  <c r="J42" i="10"/>
  <c r="V42" i="10"/>
  <c r="T24" i="13"/>
  <c r="I48" i="13"/>
  <c r="I21" i="2"/>
  <c r="I40" i="2" s="1"/>
  <c r="I12" i="2" s="1"/>
  <c r="C24" i="3"/>
  <c r="C39" i="3" s="1"/>
  <c r="G8" i="4"/>
  <c r="L15" i="4"/>
  <c r="S29" i="4"/>
  <c r="Q29" i="4"/>
  <c r="L15" i="5"/>
  <c r="S25" i="5"/>
  <c r="Q25" i="5"/>
  <c r="E15" i="6"/>
  <c r="N15" i="6" s="1"/>
  <c r="N11" i="6"/>
  <c r="L15" i="6"/>
  <c r="H51" i="8"/>
  <c r="N52" i="8" s="1"/>
  <c r="I46" i="8"/>
  <c r="I51" i="8" s="1"/>
  <c r="I12" i="8" s="1"/>
  <c r="I14" i="8" s="1"/>
  <c r="T22" i="8"/>
  <c r="T41" i="8" s="1"/>
  <c r="I52" i="8" s="1"/>
  <c r="E52" i="2"/>
  <c r="S29" i="5"/>
  <c r="S25" i="6"/>
  <c r="S36" i="6"/>
  <c r="S32" i="6"/>
  <c r="S27" i="6"/>
  <c r="Q27" i="6"/>
  <c r="S28" i="6"/>
  <c r="S34" i="6"/>
  <c r="S37" i="6"/>
  <c r="S36" i="8"/>
  <c r="Q36" i="8"/>
  <c r="N13" i="9"/>
  <c r="E14" i="9"/>
  <c r="N14" i="9" s="1"/>
  <c r="Q29" i="3"/>
  <c r="Q33" i="3"/>
  <c r="Q37" i="3"/>
  <c r="T22" i="4"/>
  <c r="T41" i="4" s="1"/>
  <c r="I52" i="4" s="1"/>
  <c r="T25" i="4"/>
  <c r="I46" i="4"/>
  <c r="I51" i="4" s="1"/>
  <c r="I12" i="4" s="1"/>
  <c r="I14" i="4" s="1"/>
  <c r="S22" i="5"/>
  <c r="S41" i="5" s="1"/>
  <c r="S35" i="5"/>
  <c r="S37" i="5"/>
  <c r="Q37" i="5"/>
  <c r="E41" i="6"/>
  <c r="G15" i="6" s="1"/>
  <c r="N11" i="7"/>
  <c r="E20" i="7"/>
  <c r="E63" i="9"/>
  <c r="F13" i="10"/>
  <c r="F14" i="10" s="1"/>
  <c r="F15" i="10"/>
  <c r="K48" i="12"/>
  <c r="V24" i="12"/>
  <c r="L14" i="12"/>
  <c r="L15" i="12"/>
  <c r="Q34" i="4"/>
  <c r="S38" i="4"/>
  <c r="Q38" i="4"/>
  <c r="L41" i="5"/>
  <c r="G51" i="5"/>
  <c r="L52" i="5" s="1"/>
  <c r="I46" i="5"/>
  <c r="I51" i="5" s="1"/>
  <c r="I12" i="5" s="1"/>
  <c r="I14" i="5" s="1"/>
  <c r="E52" i="6"/>
  <c r="F15" i="7"/>
  <c r="I47" i="7"/>
  <c r="S28" i="8"/>
  <c r="Q28" i="8"/>
  <c r="Q35" i="2"/>
  <c r="N11" i="3"/>
  <c r="Q24" i="4"/>
  <c r="S38" i="6"/>
  <c r="Q28" i="7"/>
  <c r="Q34" i="7"/>
  <c r="F15" i="8"/>
  <c r="F13" i="8"/>
  <c r="J7" i="8" s="1"/>
  <c r="S35" i="8"/>
  <c r="S27" i="8"/>
  <c r="S23" i="8"/>
  <c r="S24" i="8"/>
  <c r="S25" i="8"/>
  <c r="S31" i="8"/>
  <c r="S34" i="8"/>
  <c r="S26" i="8"/>
  <c r="Q31" i="2"/>
  <c r="I46" i="3"/>
  <c r="I51" i="3" s="1"/>
  <c r="I12" i="3" s="1"/>
  <c r="I14" i="3" s="1"/>
  <c r="S33" i="5"/>
  <c r="Q33" i="5"/>
  <c r="E63" i="6"/>
  <c r="S31" i="6"/>
  <c r="Q31" i="6"/>
  <c r="H15" i="7"/>
  <c r="L15" i="8"/>
  <c r="K41" i="9"/>
  <c r="G12" i="9"/>
  <c r="G14" i="9" s="1"/>
  <c r="A29" i="12"/>
  <c r="E29" i="12"/>
  <c r="B29" i="12"/>
  <c r="E52" i="9"/>
  <c r="O13" i="10"/>
  <c r="C41" i="10"/>
  <c r="K5" i="10" s="1"/>
  <c r="A22" i="10"/>
  <c r="A41" i="10" s="1"/>
  <c r="O53" i="10"/>
  <c r="S33" i="8"/>
  <c r="I47" i="9"/>
  <c r="K12" i="10"/>
  <c r="L64" i="10"/>
  <c r="H22" i="12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D22" i="12"/>
  <c r="G40" i="12"/>
  <c r="S22" i="12"/>
  <c r="S39" i="12" s="1"/>
  <c r="E63" i="8"/>
  <c r="B24" i="12"/>
  <c r="A24" i="12"/>
  <c r="E24" i="12"/>
  <c r="I40" i="16"/>
  <c r="I12" i="16" s="1"/>
  <c r="I14" i="16" s="1"/>
  <c r="Q22" i="16"/>
  <c r="Q39" i="16" s="1"/>
  <c r="E63" i="7"/>
  <c r="J15" i="7"/>
  <c r="C22" i="7"/>
  <c r="C39" i="7" s="1"/>
  <c r="E14" i="8"/>
  <c r="N14" i="8" s="1"/>
  <c r="J12" i="9"/>
  <c r="J14" i="9" s="1"/>
  <c r="K63" i="9"/>
  <c r="F42" i="10"/>
  <c r="I47" i="11"/>
  <c r="K74" i="18"/>
  <c r="E74" i="18"/>
  <c r="L12" i="18"/>
  <c r="E74" i="7"/>
  <c r="E52" i="7"/>
  <c r="Q33" i="8"/>
  <c r="J49" i="10"/>
  <c r="D26" i="12"/>
  <c r="S26" i="12"/>
  <c r="H15" i="14"/>
  <c r="E52" i="14"/>
  <c r="K41" i="18"/>
  <c r="G12" i="18"/>
  <c r="G14" i="18" s="1"/>
  <c r="E40" i="7"/>
  <c r="I21" i="9"/>
  <c r="I40" i="9" s="1"/>
  <c r="I12" i="9" s="1"/>
  <c r="I14" i="9" s="1"/>
  <c r="N11" i="15"/>
  <c r="E20" i="15"/>
  <c r="E12" i="15" s="1"/>
  <c r="Q34" i="6"/>
  <c r="Q38" i="6"/>
  <c r="Q23" i="7"/>
  <c r="Q37" i="7"/>
  <c r="Q30" i="8"/>
  <c r="Q38" i="8"/>
  <c r="L14" i="9"/>
  <c r="C22" i="9"/>
  <c r="B40" i="9"/>
  <c r="J5" i="9" s="1"/>
  <c r="H14" i="12"/>
  <c r="J14" i="13"/>
  <c r="J15" i="13"/>
  <c r="F15" i="15"/>
  <c r="F13" i="15"/>
  <c r="F14" i="15"/>
  <c r="G8" i="16"/>
  <c r="E13" i="17"/>
  <c r="N13" i="17" s="1"/>
  <c r="N12" i="17"/>
  <c r="E15" i="17"/>
  <c r="N15" i="17" s="1"/>
  <c r="G8" i="7"/>
  <c r="Q30" i="7"/>
  <c r="B40" i="8"/>
  <c r="J5" i="8" s="1"/>
  <c r="C22" i="8"/>
  <c r="C39" i="8" s="1"/>
  <c r="S29" i="8"/>
  <c r="S37" i="8"/>
  <c r="E15" i="9"/>
  <c r="N15" i="9" s="1"/>
  <c r="N12" i="9"/>
  <c r="A42" i="10"/>
  <c r="G41" i="12"/>
  <c r="H15" i="12"/>
  <c r="B23" i="12"/>
  <c r="A23" i="12"/>
  <c r="E23" i="12"/>
  <c r="M74" i="12"/>
  <c r="N12" i="12"/>
  <c r="N14" i="12" s="1"/>
  <c r="G51" i="14"/>
  <c r="L52" i="14" s="1"/>
  <c r="I47" i="14"/>
  <c r="I51" i="14" s="1"/>
  <c r="C22" i="5"/>
  <c r="C39" i="5" s="1"/>
  <c r="Q22" i="7"/>
  <c r="Q39" i="7" s="1"/>
  <c r="S29" i="7"/>
  <c r="I40" i="7"/>
  <c r="I46" i="7"/>
  <c r="I51" i="7" s="1"/>
  <c r="E15" i="8"/>
  <c r="N15" i="8" s="1"/>
  <c r="N12" i="8"/>
  <c r="F22" i="8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S22" i="8"/>
  <c r="S41" i="8" s="1"/>
  <c r="F15" i="9"/>
  <c r="L75" i="10"/>
  <c r="M12" i="10"/>
  <c r="H14" i="11"/>
  <c r="K52" i="15"/>
  <c r="E52" i="15"/>
  <c r="H12" i="15"/>
  <c r="E52" i="18"/>
  <c r="J12" i="8"/>
  <c r="J14" i="8" s="1"/>
  <c r="K63" i="8"/>
  <c r="F13" i="9"/>
  <c r="J7" i="9" s="1"/>
  <c r="K52" i="9"/>
  <c r="H12" i="9"/>
  <c r="G13" i="10"/>
  <c r="K7" i="10" s="1"/>
  <c r="K63" i="11"/>
  <c r="J12" i="11"/>
  <c r="J14" i="11" s="1"/>
  <c r="D25" i="12"/>
  <c r="E15" i="13"/>
  <c r="N15" i="13" s="1"/>
  <c r="H51" i="14"/>
  <c r="N52" i="14" s="1"/>
  <c r="T23" i="14"/>
  <c r="N41" i="16"/>
  <c r="K63" i="16"/>
  <c r="J12" i="16"/>
  <c r="K63" i="18"/>
  <c r="J12" i="18"/>
  <c r="Q22" i="19"/>
  <c r="Q39" i="19" s="1"/>
  <c r="F22" i="19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E40" i="19"/>
  <c r="T22" i="9"/>
  <c r="T41" i="9" s="1"/>
  <c r="T25" i="9"/>
  <c r="I12" i="10"/>
  <c r="A30" i="10"/>
  <c r="L12" i="11"/>
  <c r="L14" i="11" s="1"/>
  <c r="N12" i="13"/>
  <c r="L41" i="14"/>
  <c r="K63" i="14"/>
  <c r="S41" i="15"/>
  <c r="U41" i="15" s="1"/>
  <c r="S41" i="16"/>
  <c r="E74" i="17"/>
  <c r="G74" i="12"/>
  <c r="J14" i="12"/>
  <c r="J15" i="12"/>
  <c r="E21" i="13"/>
  <c r="F12" i="13" s="1"/>
  <c r="F15" i="13" s="1"/>
  <c r="K74" i="15"/>
  <c r="L12" i="15"/>
  <c r="L14" i="15" s="1"/>
  <c r="U25" i="10"/>
  <c r="S41" i="11"/>
  <c r="P11" i="12"/>
  <c r="K46" i="12"/>
  <c r="K51" i="12" s="1"/>
  <c r="K12" i="12" s="1"/>
  <c r="K14" i="12" s="1"/>
  <c r="L15" i="13"/>
  <c r="S41" i="13"/>
  <c r="J14" i="14"/>
  <c r="S41" i="14"/>
  <c r="E63" i="15"/>
  <c r="A23" i="10"/>
  <c r="A26" i="10"/>
  <c r="A29" i="10"/>
  <c r="J47" i="10"/>
  <c r="J52" i="10" s="1"/>
  <c r="J12" i="10" s="1"/>
  <c r="G13" i="12"/>
  <c r="P12" i="12"/>
  <c r="G14" i="12"/>
  <c r="P14" i="12" s="1"/>
  <c r="U41" i="12"/>
  <c r="H12" i="13"/>
  <c r="H14" i="13" s="1"/>
  <c r="K52" i="13"/>
  <c r="L14" i="14"/>
  <c r="E74" i="15"/>
  <c r="K63" i="15"/>
  <c r="J12" i="15"/>
  <c r="H15" i="16"/>
  <c r="F13" i="17"/>
  <c r="F14" i="17"/>
  <c r="F15" i="17"/>
  <c r="K41" i="17"/>
  <c r="G12" i="17"/>
  <c r="G14" i="17" s="1"/>
  <c r="K74" i="17"/>
  <c r="L12" i="17"/>
  <c r="L14" i="17" s="1"/>
  <c r="E52" i="21"/>
  <c r="H15" i="21"/>
  <c r="E21" i="11"/>
  <c r="F12" i="11" s="1"/>
  <c r="P52" i="12"/>
  <c r="E40" i="14"/>
  <c r="Q22" i="14"/>
  <c r="Q39" i="14" s="1"/>
  <c r="T22" i="14" s="1"/>
  <c r="T41" i="14" s="1"/>
  <c r="I52" i="14" s="1"/>
  <c r="G8" i="17"/>
  <c r="G40" i="17"/>
  <c r="L41" i="17" s="1"/>
  <c r="I21" i="17"/>
  <c r="E27" i="12"/>
  <c r="E63" i="13"/>
  <c r="F22" i="14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E63" i="16"/>
  <c r="K52" i="16"/>
  <c r="E52" i="16"/>
  <c r="K74" i="16"/>
  <c r="E74" i="16"/>
  <c r="L12" i="16"/>
  <c r="J7" i="17"/>
  <c r="S41" i="18"/>
  <c r="K52" i="18"/>
  <c r="H12" i="18"/>
  <c r="H14" i="18" s="1"/>
  <c r="G63" i="12"/>
  <c r="H51" i="13"/>
  <c r="N52" i="13" s="1"/>
  <c r="I46" i="13"/>
  <c r="I51" i="13" s="1"/>
  <c r="I12" i="13" s="1"/>
  <c r="I14" i="13" s="1"/>
  <c r="T22" i="13"/>
  <c r="T41" i="13" s="1"/>
  <c r="I52" i="13" s="1"/>
  <c r="F13" i="16"/>
  <c r="F14" i="16" s="1"/>
  <c r="E52" i="13"/>
  <c r="E21" i="14"/>
  <c r="F12" i="14" s="1"/>
  <c r="N11" i="14"/>
  <c r="I13" i="14"/>
  <c r="F13" i="18"/>
  <c r="F14" i="18" s="1"/>
  <c r="E14" i="13"/>
  <c r="N14" i="13" s="1"/>
  <c r="B11" i="14"/>
  <c r="B12" i="14" s="1"/>
  <c r="E20" i="14"/>
  <c r="E12" i="14" s="1"/>
  <c r="F13" i="19"/>
  <c r="F14" i="19" s="1"/>
  <c r="K74" i="20"/>
  <c r="L13" i="20"/>
  <c r="L14" i="20" s="1"/>
  <c r="E12" i="23"/>
  <c r="E41" i="23"/>
  <c r="G15" i="23" s="1"/>
  <c r="H51" i="16"/>
  <c r="N52" i="16" s="1"/>
  <c r="U41" i="20"/>
  <c r="E13" i="22"/>
  <c r="N13" i="22" s="1"/>
  <c r="N12" i="22"/>
  <c r="F13" i="23"/>
  <c r="F14" i="23"/>
  <c r="F15" i="23"/>
  <c r="Q34" i="30"/>
  <c r="K34" i="30"/>
  <c r="E63" i="18"/>
  <c r="F15" i="18"/>
  <c r="E20" i="19"/>
  <c r="E12" i="19" s="1"/>
  <c r="J14" i="19"/>
  <c r="H15" i="19"/>
  <c r="K74" i="23"/>
  <c r="L12" i="23"/>
  <c r="L14" i="23" s="1"/>
  <c r="H15" i="17"/>
  <c r="F13" i="20"/>
  <c r="S24" i="24"/>
  <c r="S31" i="24"/>
  <c r="I46" i="17"/>
  <c r="I51" i="17" s="1"/>
  <c r="I12" i="17" s="1"/>
  <c r="I14" i="17" s="1"/>
  <c r="L15" i="19"/>
  <c r="K52" i="20"/>
  <c r="H12" i="20"/>
  <c r="K63" i="22"/>
  <c r="E63" i="22"/>
  <c r="J12" i="22"/>
  <c r="E41" i="24"/>
  <c r="G15" i="24" s="1"/>
  <c r="E12" i="24"/>
  <c r="S34" i="24"/>
  <c r="I49" i="14"/>
  <c r="J15" i="17"/>
  <c r="I47" i="19"/>
  <c r="J5" i="20"/>
  <c r="I12" i="22"/>
  <c r="I14" i="22" s="1"/>
  <c r="E74" i="23"/>
  <c r="S25" i="24"/>
  <c r="F13" i="25"/>
  <c r="F14" i="25"/>
  <c r="K74" i="25"/>
  <c r="L12" i="25"/>
  <c r="L14" i="25" s="1"/>
  <c r="E63" i="27"/>
  <c r="G40" i="15"/>
  <c r="L41" i="15" s="1"/>
  <c r="E20" i="16"/>
  <c r="E41" i="17"/>
  <c r="G15" i="17" s="1"/>
  <c r="I15" i="17" s="1"/>
  <c r="G8" i="21"/>
  <c r="B40" i="21"/>
  <c r="J5" i="21" s="1"/>
  <c r="C22" i="21"/>
  <c r="C39" i="21" s="1"/>
  <c r="S41" i="21"/>
  <c r="F13" i="24"/>
  <c r="F14" i="24"/>
  <c r="F15" i="24"/>
  <c r="T22" i="25"/>
  <c r="T41" i="25" s="1"/>
  <c r="I52" i="25" s="1"/>
  <c r="H51" i="25"/>
  <c r="N52" i="25" s="1"/>
  <c r="I21" i="14"/>
  <c r="I40" i="14" s="1"/>
  <c r="E13" i="20"/>
  <c r="N13" i="20" s="1"/>
  <c r="N12" i="20"/>
  <c r="E14" i="20"/>
  <c r="N14" i="20" s="1"/>
  <c r="I14" i="20"/>
  <c r="U41" i="22"/>
  <c r="I41" i="22"/>
  <c r="S37" i="24"/>
  <c r="I21" i="19"/>
  <c r="T24" i="24"/>
  <c r="I48" i="24"/>
  <c r="J12" i="24"/>
  <c r="K63" i="24"/>
  <c r="E63" i="24"/>
  <c r="E20" i="18"/>
  <c r="E12" i="18" s="1"/>
  <c r="E15" i="18" s="1"/>
  <c r="N15" i="18" s="1"/>
  <c r="I48" i="19"/>
  <c r="T24" i="19"/>
  <c r="F13" i="21"/>
  <c r="F14" i="21" s="1"/>
  <c r="E15" i="22"/>
  <c r="N15" i="22" s="1"/>
  <c r="S28" i="24"/>
  <c r="E15" i="20"/>
  <c r="N15" i="20" s="1"/>
  <c r="F15" i="21"/>
  <c r="I47" i="23"/>
  <c r="I12" i="24"/>
  <c r="I14" i="24" s="1"/>
  <c r="S35" i="24"/>
  <c r="S24" i="26"/>
  <c r="I13" i="26"/>
  <c r="I14" i="26" s="1"/>
  <c r="I12" i="28"/>
  <c r="I14" i="28" s="1"/>
  <c r="E14" i="29"/>
  <c r="N14" i="29" s="1"/>
  <c r="F15" i="22"/>
  <c r="S37" i="26"/>
  <c r="S38" i="26"/>
  <c r="S35" i="26"/>
  <c r="S32" i="26"/>
  <c r="S29" i="26"/>
  <c r="S26" i="26"/>
  <c r="S22" i="26"/>
  <c r="S41" i="26" s="1"/>
  <c r="S36" i="26"/>
  <c r="S33" i="26"/>
  <c r="S30" i="26"/>
  <c r="Q26" i="27"/>
  <c r="K26" i="27"/>
  <c r="C22" i="20"/>
  <c r="C39" i="20" s="1"/>
  <c r="C22" i="23"/>
  <c r="C39" i="23" s="1"/>
  <c r="S26" i="24"/>
  <c r="G40" i="24"/>
  <c r="L41" i="24" s="1"/>
  <c r="E40" i="25"/>
  <c r="Q22" i="25"/>
  <c r="Q39" i="25" s="1"/>
  <c r="S34" i="26"/>
  <c r="E40" i="27"/>
  <c r="Q22" i="27"/>
  <c r="Q39" i="27" s="1"/>
  <c r="K22" i="27"/>
  <c r="K40" i="27" s="1"/>
  <c r="G13" i="27" s="1"/>
  <c r="F22" i="27"/>
  <c r="F23" i="27" s="1"/>
  <c r="F24" i="27" s="1"/>
  <c r="F25" i="27" s="1"/>
  <c r="F26" i="27" s="1"/>
  <c r="F27" i="27" s="1"/>
  <c r="F28" i="27" s="1"/>
  <c r="F29" i="27" s="1"/>
  <c r="F30" i="27" s="1"/>
  <c r="F31" i="27" s="1"/>
  <c r="F32" i="27" s="1"/>
  <c r="F33" i="27" s="1"/>
  <c r="F34" i="27" s="1"/>
  <c r="F35" i="27" s="1"/>
  <c r="F36" i="27" s="1"/>
  <c r="F37" i="27" s="1"/>
  <c r="F38" i="27" s="1"/>
  <c r="Q24" i="27"/>
  <c r="K24" i="27"/>
  <c r="I30" i="30"/>
  <c r="M30" i="30"/>
  <c r="E74" i="19"/>
  <c r="E63" i="20"/>
  <c r="J15" i="21"/>
  <c r="F22" i="21"/>
  <c r="F23" i="21" s="1"/>
  <c r="F24" i="21" s="1"/>
  <c r="F25" i="21" s="1"/>
  <c r="F26" i="21" s="1"/>
  <c r="F27" i="21" s="1"/>
  <c r="F28" i="21" s="1"/>
  <c r="F29" i="21" s="1"/>
  <c r="F30" i="21" s="1"/>
  <c r="F31" i="21" s="1"/>
  <c r="F32" i="21" s="1"/>
  <c r="F33" i="21" s="1"/>
  <c r="F34" i="21" s="1"/>
  <c r="F35" i="21" s="1"/>
  <c r="F36" i="21" s="1"/>
  <c r="F37" i="21" s="1"/>
  <c r="F38" i="21" s="1"/>
  <c r="E74" i="21"/>
  <c r="H12" i="22"/>
  <c r="C22" i="22"/>
  <c r="C39" i="22" s="1"/>
  <c r="G8" i="24"/>
  <c r="S30" i="24"/>
  <c r="Q30" i="24"/>
  <c r="Q37" i="24"/>
  <c r="E74" i="24"/>
  <c r="E20" i="25"/>
  <c r="E12" i="25" s="1"/>
  <c r="F15" i="25"/>
  <c r="F22" i="25"/>
  <c r="F23" i="25" s="1"/>
  <c r="F24" i="25" s="1"/>
  <c r="F25" i="25" s="1"/>
  <c r="F26" i="25" s="1"/>
  <c r="F27" i="25" s="1"/>
  <c r="F28" i="25" s="1"/>
  <c r="F29" i="25" s="1"/>
  <c r="F30" i="25" s="1"/>
  <c r="F31" i="25" s="1"/>
  <c r="F32" i="25" s="1"/>
  <c r="F33" i="25" s="1"/>
  <c r="F34" i="25" s="1"/>
  <c r="F35" i="25" s="1"/>
  <c r="F36" i="25" s="1"/>
  <c r="F37" i="25" s="1"/>
  <c r="F38" i="25" s="1"/>
  <c r="I47" i="25"/>
  <c r="T23" i="25"/>
  <c r="E52" i="25"/>
  <c r="L41" i="27"/>
  <c r="J15" i="19"/>
  <c r="J12" i="20"/>
  <c r="F22" i="20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E40" i="20"/>
  <c r="L12" i="21"/>
  <c r="E40" i="21"/>
  <c r="F22" i="23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S32" i="24"/>
  <c r="K74" i="24"/>
  <c r="E15" i="26"/>
  <c r="N15" i="26" s="1"/>
  <c r="E13" i="26"/>
  <c r="N12" i="26"/>
  <c r="S25" i="26"/>
  <c r="Q25" i="26"/>
  <c r="F14" i="22"/>
  <c r="F22" i="22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E74" i="22"/>
  <c r="L15" i="23"/>
  <c r="T24" i="23"/>
  <c r="G12" i="24"/>
  <c r="G14" i="24" s="1"/>
  <c r="S36" i="24"/>
  <c r="Q36" i="24"/>
  <c r="E41" i="25"/>
  <c r="G15" i="25" s="1"/>
  <c r="H15" i="25"/>
  <c r="I13" i="25"/>
  <c r="S27" i="26"/>
  <c r="E20" i="21"/>
  <c r="E12" i="21" s="1"/>
  <c r="E40" i="22"/>
  <c r="I46" i="23"/>
  <c r="I51" i="23" s="1"/>
  <c r="I12" i="23" s="1"/>
  <c r="Q28" i="24"/>
  <c r="S38" i="24"/>
  <c r="K52" i="24"/>
  <c r="H12" i="24"/>
  <c r="H14" i="24" s="1"/>
  <c r="Q27" i="25"/>
  <c r="S29" i="25"/>
  <c r="S35" i="25"/>
  <c r="J5" i="29"/>
  <c r="I31" i="29"/>
  <c r="M31" i="29"/>
  <c r="S22" i="31"/>
  <c r="S41" i="31" s="1"/>
  <c r="N40" i="31"/>
  <c r="Q22" i="23"/>
  <c r="Q39" i="23" s="1"/>
  <c r="G51" i="23"/>
  <c r="L52" i="23" s="1"/>
  <c r="S22" i="24"/>
  <c r="S41" i="24" s="1"/>
  <c r="S23" i="24"/>
  <c r="L52" i="24"/>
  <c r="Q25" i="27"/>
  <c r="K25" i="27"/>
  <c r="M27" i="27"/>
  <c r="I27" i="27"/>
  <c r="S41" i="23"/>
  <c r="H51" i="23"/>
  <c r="N52" i="23" s="1"/>
  <c r="S27" i="24"/>
  <c r="Q27" i="24"/>
  <c r="Q34" i="24"/>
  <c r="S23" i="26"/>
  <c r="K21" i="27"/>
  <c r="F12" i="27"/>
  <c r="Q23" i="27"/>
  <c r="K23" i="27"/>
  <c r="H12" i="29"/>
  <c r="H14" i="29" s="1"/>
  <c r="K52" i="29"/>
  <c r="E52" i="23"/>
  <c r="S29" i="24"/>
  <c r="E74" i="25"/>
  <c r="L15" i="25"/>
  <c r="I49" i="25"/>
  <c r="J5" i="26"/>
  <c r="E63" i="23"/>
  <c r="H15" i="24"/>
  <c r="S33" i="24"/>
  <c r="Q33" i="24"/>
  <c r="F14" i="26"/>
  <c r="S28" i="26"/>
  <c r="E40" i="28"/>
  <c r="Q22" i="28"/>
  <c r="Q39" i="28" s="1"/>
  <c r="F22" i="28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S35" i="28"/>
  <c r="Q35" i="28"/>
  <c r="J12" i="28"/>
  <c r="K63" i="28"/>
  <c r="G13" i="29"/>
  <c r="K41" i="29"/>
  <c r="E20" i="27"/>
  <c r="E41" i="27" s="1"/>
  <c r="G15" i="27" s="1"/>
  <c r="K30" i="27"/>
  <c r="E63" i="28"/>
  <c r="S33" i="28"/>
  <c r="Q31" i="29"/>
  <c r="K31" i="29"/>
  <c r="K68" i="29"/>
  <c r="K73" i="29" s="1"/>
  <c r="L13" i="29" s="1"/>
  <c r="E73" i="29"/>
  <c r="E74" i="29" s="1"/>
  <c r="F13" i="30"/>
  <c r="F14" i="30"/>
  <c r="K32" i="30"/>
  <c r="Q32" i="30"/>
  <c r="H12" i="31"/>
  <c r="H14" i="31" s="1"/>
  <c r="K52" i="31"/>
  <c r="E52" i="29"/>
  <c r="G8" i="31"/>
  <c r="K35" i="31"/>
  <c r="Q35" i="31"/>
  <c r="Q37" i="31"/>
  <c r="K37" i="31"/>
  <c r="AB18" i="33"/>
  <c r="N11" i="27"/>
  <c r="K28" i="27"/>
  <c r="K57" i="27"/>
  <c r="K62" i="27" s="1"/>
  <c r="E21" i="29"/>
  <c r="E41" i="29" s="1"/>
  <c r="G15" i="29" s="1"/>
  <c r="M36" i="29"/>
  <c r="I36" i="29"/>
  <c r="M27" i="30"/>
  <c r="I27" i="30"/>
  <c r="K63" i="30"/>
  <c r="J12" i="30"/>
  <c r="E63" i="30"/>
  <c r="E74" i="31"/>
  <c r="L18" i="33"/>
  <c r="H51" i="26"/>
  <c r="N52" i="26" s="1"/>
  <c r="K27" i="27"/>
  <c r="I49" i="27"/>
  <c r="M49" i="27"/>
  <c r="H14" i="28"/>
  <c r="S26" i="28"/>
  <c r="Q33" i="28"/>
  <c r="I33" i="29"/>
  <c r="M34" i="30"/>
  <c r="I36" i="30"/>
  <c r="I33" i="31"/>
  <c r="M33" i="31"/>
  <c r="I46" i="25"/>
  <c r="I51" i="25" s="1"/>
  <c r="I12" i="25" s="1"/>
  <c r="I14" i="25" s="1"/>
  <c r="F15" i="27"/>
  <c r="I22" i="27"/>
  <c r="I40" i="27" s="1"/>
  <c r="I12" i="27" s="1"/>
  <c r="I23" i="27"/>
  <c r="I24" i="27"/>
  <c r="I25" i="27"/>
  <c r="I26" i="27"/>
  <c r="I33" i="27"/>
  <c r="H15" i="28"/>
  <c r="E52" i="28"/>
  <c r="O48" i="29"/>
  <c r="T24" i="29"/>
  <c r="I48" i="29"/>
  <c r="E62" i="29"/>
  <c r="K57" i="29"/>
  <c r="K62" i="29" s="1"/>
  <c r="J13" i="29" s="1"/>
  <c r="E41" i="30"/>
  <c r="G15" i="30" s="1"/>
  <c r="E12" i="30"/>
  <c r="G51" i="30"/>
  <c r="M46" i="30"/>
  <c r="L51" i="30" s="1"/>
  <c r="M48" i="30"/>
  <c r="M37" i="31"/>
  <c r="I47" i="27"/>
  <c r="E74" i="27"/>
  <c r="L14" i="28"/>
  <c r="S32" i="28"/>
  <c r="G51" i="29"/>
  <c r="M46" i="29"/>
  <c r="L51" i="29" s="1"/>
  <c r="I46" i="29"/>
  <c r="I51" i="29" s="1"/>
  <c r="I12" i="29" s="1"/>
  <c r="N11" i="31"/>
  <c r="E20" i="31"/>
  <c r="I27" i="31"/>
  <c r="T24" i="31"/>
  <c r="I48" i="31"/>
  <c r="O48" i="31"/>
  <c r="E40" i="26"/>
  <c r="E41" i="26" s="1"/>
  <c r="G15" i="26" s="1"/>
  <c r="E15" i="28"/>
  <c r="N15" i="28" s="1"/>
  <c r="E13" i="28"/>
  <c r="L15" i="28"/>
  <c r="S36" i="28"/>
  <c r="I46" i="30"/>
  <c r="I51" i="30" s="1"/>
  <c r="I12" i="30" s="1"/>
  <c r="E62" i="31"/>
  <c r="O9" i="33"/>
  <c r="O11" i="33"/>
  <c r="D18" i="33"/>
  <c r="L52" i="27"/>
  <c r="F13" i="28"/>
  <c r="J7" i="28" s="1"/>
  <c r="F14" i="28"/>
  <c r="S38" i="28"/>
  <c r="F15" i="30"/>
  <c r="K41" i="30"/>
  <c r="G12" i="30"/>
  <c r="G14" i="30" s="1"/>
  <c r="K41" i="31"/>
  <c r="G12" i="31"/>
  <c r="G14" i="31" s="1"/>
  <c r="Q24" i="26"/>
  <c r="I48" i="26"/>
  <c r="E52" i="26"/>
  <c r="J12" i="27"/>
  <c r="N52" i="27"/>
  <c r="E41" i="28"/>
  <c r="G15" i="28" s="1"/>
  <c r="I49" i="29"/>
  <c r="M49" i="29"/>
  <c r="H15" i="31"/>
  <c r="AA11" i="33"/>
  <c r="AA9" i="33"/>
  <c r="S22" i="27"/>
  <c r="S41" i="27" s="1"/>
  <c r="I31" i="27"/>
  <c r="G40" i="28"/>
  <c r="L41" i="28" s="1"/>
  <c r="I21" i="28"/>
  <c r="S27" i="28"/>
  <c r="I27" i="29"/>
  <c r="M27" i="29"/>
  <c r="E52" i="27"/>
  <c r="T24" i="27"/>
  <c r="Q37" i="27"/>
  <c r="S29" i="28"/>
  <c r="Q36" i="28"/>
  <c r="E74" i="28"/>
  <c r="E15" i="29"/>
  <c r="N15" i="29" s="1"/>
  <c r="N11" i="29"/>
  <c r="K29" i="29"/>
  <c r="Q29" i="29"/>
  <c r="L15" i="30"/>
  <c r="E74" i="30"/>
  <c r="N41" i="31"/>
  <c r="N11" i="30"/>
  <c r="F15" i="28"/>
  <c r="Q28" i="29"/>
  <c r="E15" i="30"/>
  <c r="N15" i="30" s="1"/>
  <c r="Q31" i="30"/>
  <c r="I49" i="30"/>
  <c r="F13" i="31"/>
  <c r="F14" i="31" s="1"/>
  <c r="Q34" i="31"/>
  <c r="AD11" i="33"/>
  <c r="E52" i="31"/>
  <c r="I32" i="29"/>
  <c r="I21" i="30"/>
  <c r="I35" i="30"/>
  <c r="F15" i="31"/>
  <c r="I22" i="31"/>
  <c r="I40" i="31" s="1"/>
  <c r="I23" i="31"/>
  <c r="I24" i="31"/>
  <c r="I25" i="31"/>
  <c r="I26" i="31"/>
  <c r="I38" i="31"/>
  <c r="K74" i="30"/>
  <c r="I30" i="29"/>
  <c r="M21" i="30"/>
  <c r="I33" i="30"/>
  <c r="O46" i="30"/>
  <c r="N51" i="30" s="1"/>
  <c r="N52" i="30" s="1"/>
  <c r="I36" i="31"/>
  <c r="I46" i="31"/>
  <c r="I51" i="31" s="1"/>
  <c r="H51" i="28"/>
  <c r="N52" i="28" s="1"/>
  <c r="M46" i="31"/>
  <c r="L51" i="31" s="1"/>
  <c r="L52" i="31" s="1"/>
  <c r="K74" i="31"/>
  <c r="O46" i="31"/>
  <c r="N51" i="31" s="1"/>
  <c r="N52" i="31" s="1"/>
  <c r="L52" i="30" l="1"/>
  <c r="J13" i="27"/>
  <c r="J14" i="27" s="1"/>
  <c r="K63" i="27"/>
  <c r="I13" i="31"/>
  <c r="N13" i="26"/>
  <c r="E14" i="26"/>
  <c r="N14" i="26" s="1"/>
  <c r="J7" i="20"/>
  <c r="P13" i="12"/>
  <c r="L7" i="12"/>
  <c r="I52" i="9"/>
  <c r="U41" i="9"/>
  <c r="H14" i="9"/>
  <c r="H15" i="9"/>
  <c r="I12" i="7"/>
  <c r="I14" i="7" s="1"/>
  <c r="S25" i="7"/>
  <c r="S28" i="7"/>
  <c r="S30" i="7"/>
  <c r="S34" i="7"/>
  <c r="S23" i="7"/>
  <c r="S37" i="7"/>
  <c r="F14" i="2"/>
  <c r="J7" i="2"/>
  <c r="N13" i="4"/>
  <c r="J7" i="4"/>
  <c r="E14" i="4"/>
  <c r="N14" i="4" s="1"/>
  <c r="N13" i="5"/>
  <c r="J7" i="5"/>
  <c r="L14" i="31"/>
  <c r="L15" i="31"/>
  <c r="K52" i="30"/>
  <c r="H12" i="30"/>
  <c r="E52" i="30"/>
  <c r="S22" i="30"/>
  <c r="S41" i="30" s="1"/>
  <c r="N40" i="30"/>
  <c r="N41" i="30" s="1"/>
  <c r="N52" i="29"/>
  <c r="N40" i="29"/>
  <c r="I13" i="29" s="1"/>
  <c r="S22" i="29"/>
  <c r="S41" i="29" s="1"/>
  <c r="N41" i="29"/>
  <c r="L41" i="29"/>
  <c r="K74" i="27"/>
  <c r="L12" i="27"/>
  <c r="K52" i="27"/>
  <c r="H12" i="27"/>
  <c r="I13" i="27"/>
  <c r="I14" i="27" s="1"/>
  <c r="N41" i="27"/>
  <c r="J14" i="23"/>
  <c r="J15" i="23"/>
  <c r="K41" i="13"/>
  <c r="G12" i="13"/>
  <c r="G14" i="13" s="1"/>
  <c r="B27" i="12"/>
  <c r="A27" i="12"/>
  <c r="K41" i="11"/>
  <c r="G12" i="11"/>
  <c r="G14" i="11" s="1"/>
  <c r="I12" i="11"/>
  <c r="I14" i="11" s="1"/>
  <c r="F32" i="9"/>
  <c r="F34" i="9"/>
  <c r="K41" i="8"/>
  <c r="G12" i="8"/>
  <c r="G14" i="8" s="1"/>
  <c r="E41" i="8"/>
  <c r="G15" i="8" s="1"/>
  <c r="I14" i="6"/>
  <c r="S31" i="5"/>
  <c r="S23" i="5"/>
  <c r="U41" i="2"/>
  <c r="I15" i="2" s="1"/>
  <c r="Q11" i="2" s="1"/>
  <c r="I41" i="2"/>
  <c r="I14" i="23"/>
  <c r="I15" i="23"/>
  <c r="I14" i="29"/>
  <c r="N13" i="28"/>
  <c r="E14" i="28"/>
  <c r="N14" i="28" s="1"/>
  <c r="L52" i="29"/>
  <c r="J14" i="28"/>
  <c r="J15" i="28"/>
  <c r="K41" i="22"/>
  <c r="G12" i="22"/>
  <c r="G14" i="22" s="1"/>
  <c r="H14" i="22"/>
  <c r="H15" i="22"/>
  <c r="U41" i="21"/>
  <c r="I41" i="21"/>
  <c r="F14" i="20"/>
  <c r="L15" i="15"/>
  <c r="U41" i="14"/>
  <c r="I41" i="14"/>
  <c r="F13" i="13"/>
  <c r="J7" i="13" s="1"/>
  <c r="J11" i="10"/>
  <c r="J14" i="10"/>
  <c r="F14" i="8"/>
  <c r="K41" i="4"/>
  <c r="G12" i="4"/>
  <c r="G14" i="4" s="1"/>
  <c r="E41" i="11"/>
  <c r="G15" i="11" s="1"/>
  <c r="E12" i="11"/>
  <c r="F14" i="7"/>
  <c r="I41" i="3"/>
  <c r="U41" i="3"/>
  <c r="I15" i="3" s="1"/>
  <c r="M14" i="10"/>
  <c r="M15" i="10"/>
  <c r="G12" i="27"/>
  <c r="G14" i="27" s="1"/>
  <c r="K41" i="27"/>
  <c r="U41" i="8"/>
  <c r="I41" i="8"/>
  <c r="T12" i="2"/>
  <c r="T13" i="2" s="1"/>
  <c r="I14" i="2"/>
  <c r="F14" i="6"/>
  <c r="E13" i="24"/>
  <c r="N13" i="24" s="1"/>
  <c r="E15" i="24"/>
  <c r="N15" i="24" s="1"/>
  <c r="N12" i="24"/>
  <c r="H15" i="29"/>
  <c r="E15" i="21"/>
  <c r="N15" i="21" s="1"/>
  <c r="E13" i="21"/>
  <c r="N13" i="21" s="1"/>
  <c r="E14" i="21"/>
  <c r="N14" i="21" s="1"/>
  <c r="N12" i="21"/>
  <c r="E13" i="23"/>
  <c r="N13" i="23" s="1"/>
  <c r="N12" i="23"/>
  <c r="H15" i="13"/>
  <c r="L14" i="21"/>
  <c r="L15" i="21"/>
  <c r="S23" i="25"/>
  <c r="S24" i="25"/>
  <c r="S33" i="25"/>
  <c r="S37" i="25"/>
  <c r="S31" i="25"/>
  <c r="S36" i="25"/>
  <c r="S30" i="25"/>
  <c r="S32" i="25"/>
  <c r="S34" i="25"/>
  <c r="S26" i="25"/>
  <c r="S28" i="25"/>
  <c r="S38" i="25"/>
  <c r="K41" i="12"/>
  <c r="W41" i="12"/>
  <c r="B26" i="12"/>
  <c r="A26" i="12"/>
  <c r="E26" i="12"/>
  <c r="F14" i="9"/>
  <c r="J15" i="8"/>
  <c r="U41" i="5"/>
  <c r="I15" i="5" s="1"/>
  <c r="I41" i="5"/>
  <c r="F27" i="2"/>
  <c r="F32" i="2"/>
  <c r="F38" i="2"/>
  <c r="F30" i="2"/>
  <c r="F25" i="2"/>
  <c r="F35" i="2"/>
  <c r="F31" i="2"/>
  <c r="F28" i="2"/>
  <c r="F26" i="2"/>
  <c r="F23" i="2"/>
  <c r="F36" i="2"/>
  <c r="F37" i="2"/>
  <c r="F33" i="2"/>
  <c r="F24" i="2"/>
  <c r="F34" i="2"/>
  <c r="F29" i="2"/>
  <c r="E41" i="4"/>
  <c r="G15" i="4" s="1"/>
  <c r="J7" i="24"/>
  <c r="J7" i="21"/>
  <c r="J14" i="22"/>
  <c r="J15" i="22"/>
  <c r="K21" i="29"/>
  <c r="F12" i="29"/>
  <c r="S37" i="28"/>
  <c r="S34" i="28"/>
  <c r="S31" i="28"/>
  <c r="S28" i="28"/>
  <c r="S24" i="28"/>
  <c r="S23" i="28"/>
  <c r="G12" i="20"/>
  <c r="G14" i="20" s="1"/>
  <c r="K41" i="20"/>
  <c r="E13" i="25"/>
  <c r="N13" i="25" s="1"/>
  <c r="N12" i="25"/>
  <c r="E14" i="25"/>
  <c r="N14" i="25" s="1"/>
  <c r="K41" i="25"/>
  <c r="G12" i="25"/>
  <c r="G14" i="25" s="1"/>
  <c r="E13" i="18"/>
  <c r="N12" i="18"/>
  <c r="E41" i="22"/>
  <c r="G15" i="22" s="1"/>
  <c r="I15" i="22" s="1"/>
  <c r="H14" i="20"/>
  <c r="H15" i="20"/>
  <c r="E41" i="21"/>
  <c r="G15" i="21" s="1"/>
  <c r="F13" i="14"/>
  <c r="F14" i="14"/>
  <c r="I41" i="18"/>
  <c r="U41" i="18"/>
  <c r="E41" i="13"/>
  <c r="G15" i="13" s="1"/>
  <c r="H15" i="18"/>
  <c r="E13" i="15"/>
  <c r="N13" i="15" s="1"/>
  <c r="N12" i="15"/>
  <c r="H15" i="6"/>
  <c r="I15" i="6" s="1"/>
  <c r="K41" i="15"/>
  <c r="G12" i="15"/>
  <c r="G14" i="15" s="1"/>
  <c r="E14" i="5"/>
  <c r="N14" i="5" s="1"/>
  <c r="I15" i="9"/>
  <c r="K74" i="29"/>
  <c r="L12" i="29"/>
  <c r="E15" i="25"/>
  <c r="N15" i="25" s="1"/>
  <c r="E12" i="16"/>
  <c r="E41" i="16"/>
  <c r="G15" i="16" s="1"/>
  <c r="F15" i="14"/>
  <c r="L15" i="17"/>
  <c r="K41" i="19"/>
  <c r="G12" i="19"/>
  <c r="G14" i="19" s="1"/>
  <c r="B25" i="12"/>
  <c r="A25" i="12"/>
  <c r="E25" i="12"/>
  <c r="L15" i="11"/>
  <c r="J7" i="3"/>
  <c r="K63" i="29"/>
  <c r="J12" i="29"/>
  <c r="K41" i="21"/>
  <c r="G12" i="21"/>
  <c r="G14" i="21" s="1"/>
  <c r="K63" i="31"/>
  <c r="J12" i="31"/>
  <c r="E63" i="31"/>
  <c r="S30" i="28"/>
  <c r="K41" i="28"/>
  <c r="G12" i="28"/>
  <c r="G14" i="28" s="1"/>
  <c r="I41" i="24"/>
  <c r="U41" i="24"/>
  <c r="I15" i="24" s="1"/>
  <c r="S22" i="28"/>
  <c r="S41" i="28" s="1"/>
  <c r="S22" i="25"/>
  <c r="S41" i="25" s="1"/>
  <c r="J14" i="20"/>
  <c r="J15" i="20"/>
  <c r="I12" i="14"/>
  <c r="J7" i="22"/>
  <c r="E14" i="22"/>
  <c r="N14" i="22" s="1"/>
  <c r="L14" i="16"/>
  <c r="L15" i="16"/>
  <c r="N15" i="12"/>
  <c r="J15" i="11"/>
  <c r="H14" i="15"/>
  <c r="H15" i="15"/>
  <c r="E14" i="17"/>
  <c r="N14" i="17" s="1"/>
  <c r="E15" i="15"/>
  <c r="N15" i="15" s="1"/>
  <c r="M41" i="12"/>
  <c r="I12" i="12"/>
  <c r="I14" i="12" s="1"/>
  <c r="F35" i="3"/>
  <c r="F31" i="3"/>
  <c r="F27" i="3"/>
  <c r="F23" i="3"/>
  <c r="F36" i="3"/>
  <c r="F32" i="3"/>
  <c r="F24" i="3"/>
  <c r="F28" i="3"/>
  <c r="F37" i="3"/>
  <c r="F33" i="3"/>
  <c r="F29" i="3"/>
  <c r="F25" i="3"/>
  <c r="F30" i="3"/>
  <c r="F34" i="3"/>
  <c r="F38" i="3"/>
  <c r="F26" i="3"/>
  <c r="H15" i="2"/>
  <c r="E13" i="19"/>
  <c r="N13" i="19" s="1"/>
  <c r="N12" i="19"/>
  <c r="J14" i="16"/>
  <c r="J15" i="16"/>
  <c r="I13" i="30"/>
  <c r="I14" i="30" s="1"/>
  <c r="K20" i="31"/>
  <c r="E41" i="31"/>
  <c r="G15" i="31" s="1"/>
  <c r="E12" i="31"/>
  <c r="E12" i="27"/>
  <c r="K20" i="27"/>
  <c r="E15" i="23"/>
  <c r="N15" i="23" s="1"/>
  <c r="J14" i="24"/>
  <c r="J15" i="24"/>
  <c r="J15" i="27"/>
  <c r="G12" i="14"/>
  <c r="G14" i="14" s="1"/>
  <c r="K41" i="14"/>
  <c r="U41" i="16"/>
  <c r="I15" i="16" s="1"/>
  <c r="I41" i="16"/>
  <c r="I15" i="12"/>
  <c r="B22" i="12"/>
  <c r="B40" i="12" s="1"/>
  <c r="A22" i="12"/>
  <c r="A40" i="12" s="1"/>
  <c r="D40" i="12"/>
  <c r="L5" i="12" s="1"/>
  <c r="E22" i="12"/>
  <c r="E39" i="12" s="1"/>
  <c r="J15" i="9"/>
  <c r="L42" i="10"/>
  <c r="H12" i="10"/>
  <c r="I15" i="19"/>
  <c r="E14" i="2"/>
  <c r="N14" i="2" s="1"/>
  <c r="K14" i="10"/>
  <c r="K15" i="10"/>
  <c r="O15" i="10" s="1"/>
  <c r="U41" i="27"/>
  <c r="I41" i="27"/>
  <c r="G12" i="26"/>
  <c r="G14" i="26" s="1"/>
  <c r="K41" i="26"/>
  <c r="F13" i="27"/>
  <c r="F14" i="27" s="1"/>
  <c r="U41" i="26"/>
  <c r="I15" i="26" s="1"/>
  <c r="I41" i="26"/>
  <c r="I41" i="13"/>
  <c r="U41" i="13"/>
  <c r="I15" i="13" s="1"/>
  <c r="J14" i="15"/>
  <c r="J15" i="15"/>
  <c r="U41" i="11"/>
  <c r="I15" i="11" s="1"/>
  <c r="I41" i="11"/>
  <c r="J15" i="18"/>
  <c r="J14" i="18"/>
  <c r="G12" i="7"/>
  <c r="G14" i="7" s="1"/>
  <c r="K41" i="7"/>
  <c r="L14" i="18"/>
  <c r="L15" i="18"/>
  <c r="J7" i="15"/>
  <c r="I12" i="31"/>
  <c r="I14" i="31" s="1"/>
  <c r="E13" i="30"/>
  <c r="N13" i="30" s="1"/>
  <c r="N12" i="30"/>
  <c r="E63" i="29"/>
  <c r="J14" i="30"/>
  <c r="J15" i="30"/>
  <c r="S25" i="28"/>
  <c r="G14" i="29"/>
  <c r="U41" i="23"/>
  <c r="I41" i="23"/>
  <c r="I41" i="31"/>
  <c r="U41" i="31"/>
  <c r="I15" i="31" s="1"/>
  <c r="S25" i="25"/>
  <c r="S27" i="25"/>
  <c r="J7" i="26"/>
  <c r="E15" i="19"/>
  <c r="N15" i="19" s="1"/>
  <c r="I15" i="20"/>
  <c r="E15" i="14"/>
  <c r="N15" i="14" s="1"/>
  <c r="E13" i="14"/>
  <c r="N13" i="14" s="1"/>
  <c r="N12" i="14"/>
  <c r="E14" i="14"/>
  <c r="N14" i="14" s="1"/>
  <c r="F13" i="11"/>
  <c r="F14" i="11"/>
  <c r="G14" i="10"/>
  <c r="S22" i="7"/>
  <c r="S41" i="7" s="1"/>
  <c r="S27" i="7"/>
  <c r="S31" i="7"/>
  <c r="S24" i="7"/>
  <c r="S38" i="7"/>
  <c r="S35" i="7"/>
  <c r="S32" i="7"/>
  <c r="S26" i="7"/>
  <c r="S36" i="7"/>
  <c r="S33" i="7"/>
  <c r="F15" i="11"/>
  <c r="E12" i="7"/>
  <c r="E41" i="7"/>
  <c r="G15" i="7" s="1"/>
  <c r="H15" i="8"/>
  <c r="J15" i="4"/>
  <c r="I41" i="4"/>
  <c r="U41" i="4"/>
  <c r="I15" i="4" s="1"/>
  <c r="I15" i="18" l="1"/>
  <c r="J7" i="14"/>
  <c r="N13" i="18"/>
  <c r="J7" i="18"/>
  <c r="E14" i="18"/>
  <c r="N14" i="18" s="1"/>
  <c r="H14" i="27"/>
  <c r="H15" i="27"/>
  <c r="I15" i="27" s="1"/>
  <c r="L15" i="27"/>
  <c r="L14" i="27"/>
  <c r="U41" i="29"/>
  <c r="I15" i="29" s="1"/>
  <c r="I41" i="29"/>
  <c r="I41" i="30"/>
  <c r="U41" i="30"/>
  <c r="H14" i="30"/>
  <c r="H15" i="30"/>
  <c r="E13" i="7"/>
  <c r="N12" i="7"/>
  <c r="E15" i="7"/>
  <c r="N15" i="7" s="1"/>
  <c r="E14" i="30"/>
  <c r="N14" i="30" s="1"/>
  <c r="A41" i="12"/>
  <c r="A43" i="12" s="1"/>
  <c r="N12" i="27"/>
  <c r="E13" i="27"/>
  <c r="N13" i="27" s="1"/>
  <c r="E15" i="27"/>
  <c r="N15" i="27" s="1"/>
  <c r="F37" i="11"/>
  <c r="F27" i="11"/>
  <c r="F34" i="11"/>
  <c r="F31" i="11"/>
  <c r="F38" i="11"/>
  <c r="F23" i="11"/>
  <c r="F35" i="11"/>
  <c r="F28" i="11"/>
  <c r="F24" i="11"/>
  <c r="F32" i="11"/>
  <c r="F25" i="11"/>
  <c r="F36" i="11"/>
  <c r="F29" i="11"/>
  <c r="F26" i="11"/>
  <c r="F30" i="11"/>
  <c r="F33" i="11"/>
  <c r="F13" i="29"/>
  <c r="J7" i="29" s="1"/>
  <c r="F14" i="29"/>
  <c r="F15" i="29"/>
  <c r="J15" i="31"/>
  <c r="J14" i="31"/>
  <c r="I15" i="8"/>
  <c r="I15" i="21"/>
  <c r="J7" i="30"/>
  <c r="I14" i="14"/>
  <c r="I11" i="14"/>
  <c r="F37" i="4"/>
  <c r="F34" i="4"/>
  <c r="F31" i="4"/>
  <c r="F28" i="4"/>
  <c r="F25" i="4"/>
  <c r="F26" i="4"/>
  <c r="F38" i="4"/>
  <c r="F33" i="4"/>
  <c r="F23" i="4"/>
  <c r="F36" i="4"/>
  <c r="F29" i="4"/>
  <c r="F24" i="4"/>
  <c r="F27" i="4"/>
  <c r="F32" i="4"/>
  <c r="F30" i="4"/>
  <c r="F35" i="4"/>
  <c r="K15" i="12"/>
  <c r="E13" i="11"/>
  <c r="N13" i="11" s="1"/>
  <c r="N12" i="11"/>
  <c r="E14" i="11"/>
  <c r="N14" i="11" s="1"/>
  <c r="E15" i="11"/>
  <c r="N15" i="11" s="1"/>
  <c r="J7" i="11"/>
  <c r="J7" i="19"/>
  <c r="E14" i="15"/>
  <c r="N14" i="15" s="1"/>
  <c r="J7" i="23"/>
  <c r="L15" i="29"/>
  <c r="L14" i="29"/>
  <c r="N12" i="31"/>
  <c r="E13" i="31"/>
  <c r="E15" i="31"/>
  <c r="N15" i="31" s="1"/>
  <c r="E14" i="31"/>
  <c r="N14" i="31" s="1"/>
  <c r="O12" i="10"/>
  <c r="H14" i="10"/>
  <c r="O14" i="10" s="1"/>
  <c r="I41" i="25"/>
  <c r="U41" i="25"/>
  <c r="I15" i="25" s="1"/>
  <c r="J14" i="29"/>
  <c r="J15" i="29"/>
  <c r="F14" i="13"/>
  <c r="U41" i="7"/>
  <c r="I41" i="7"/>
  <c r="E14" i="19"/>
  <c r="N14" i="19" s="1"/>
  <c r="U41" i="28"/>
  <c r="I15" i="28" s="1"/>
  <c r="I41" i="28"/>
  <c r="E15" i="16"/>
  <c r="N15" i="16" s="1"/>
  <c r="E13" i="16"/>
  <c r="N12" i="16"/>
  <c r="E14" i="16"/>
  <c r="N14" i="16" s="1"/>
  <c r="E14" i="23"/>
  <c r="N14" i="23" s="1"/>
  <c r="E14" i="24"/>
  <c r="N14" i="24" s="1"/>
  <c r="J7" i="25"/>
  <c r="I15" i="30" l="1"/>
  <c r="E14" i="27"/>
  <c r="N14" i="27" s="1"/>
  <c r="N13" i="16"/>
  <c r="J7" i="16"/>
  <c r="N13" i="31"/>
  <c r="J7" i="31"/>
  <c r="N13" i="7"/>
  <c r="J7" i="7"/>
  <c r="E14" i="7"/>
  <c r="N14" i="7" s="1"/>
  <c r="J7" i="27"/>
</calcChain>
</file>

<file path=xl/sharedStrings.xml><?xml version="1.0" encoding="utf-8"?>
<sst xmlns="http://schemas.openxmlformats.org/spreadsheetml/2006/main" count="7488" uniqueCount="453">
  <si>
    <t>&lt; VOLVER</t>
  </si>
  <si>
    <t>'BASE DATOS'!A1</t>
  </si>
  <si>
    <t>OBRA:</t>
  </si>
  <si>
    <t>PASEO DE LAS ESTACIONES</t>
  </si>
  <si>
    <t>DATOS LICITACION</t>
  </si>
  <si>
    <t>RECEPCION</t>
  </si>
  <si>
    <t>EMPRESA</t>
  </si>
  <si>
    <t>AVANCE FÍSICO</t>
  </si>
  <si>
    <t>FECHA
ACTUALIZACION</t>
  </si>
  <si>
    <t>EXPTE</t>
  </si>
  <si>
    <t>N° PROV.</t>
  </si>
  <si>
    <t>PLAZO OBRA</t>
  </si>
  <si>
    <t>INICIO</t>
  </si>
  <si>
    <t>AVANCE FINANCIERO</t>
  </si>
  <si>
    <t>ESTADO OBRA</t>
  </si>
  <si>
    <t>TERMINADA</t>
  </si>
  <si>
    <t>AMPLIACION</t>
  </si>
  <si>
    <t>FIN</t>
  </si>
  <si>
    <t>RESUMEN</t>
  </si>
  <si>
    <t>ANTICIPO</t>
  </si>
  <si>
    <t>ACOPIO</t>
  </si>
  <si>
    <t>OBRA BASE</t>
  </si>
  <si>
    <t>ADICIONALES</t>
  </si>
  <si>
    <t>REDETERM.</t>
  </si>
  <si>
    <t>CONT. DIRECTA</t>
  </si>
  <si>
    <t>OBRAS COMPLEM.</t>
  </si>
  <si>
    <t>TOTALES</t>
  </si>
  <si>
    <t>TOTAL</t>
  </si>
  <si>
    <t>PRESENTADO</t>
  </si>
  <si>
    <t>PAGADO</t>
  </si>
  <si>
    <t>SALDO</t>
  </si>
  <si>
    <t>&lt;</t>
  </si>
  <si>
    <t>DEUDA ACTUAL</t>
  </si>
  <si>
    <t>SIN PRESENTAR</t>
  </si>
  <si>
    <t>DEUDA FUTURA</t>
  </si>
  <si>
    <t>CERTIFICADOS</t>
  </si>
  <si>
    <t>REDETERMINACIONES (MES BASE NOV 2020)</t>
  </si>
  <si>
    <t>PAGOS</t>
  </si>
  <si>
    <t>N°</t>
  </si>
  <si>
    <t>MONTO</t>
  </si>
  <si>
    <t>MES</t>
  </si>
  <si>
    <t>PROVISORIA</t>
  </si>
  <si>
    <t>DEFINITIVA</t>
  </si>
  <si>
    <t>BASE</t>
  </si>
  <si>
    <t>CALCULO ESTIMATIVO REDETERMINACIONES</t>
  </si>
  <si>
    <t>-</t>
  </si>
  <si>
    <t>sin certificar</t>
  </si>
  <si>
    <t>INC</t>
  </si>
  <si>
    <t>Redet. Obra básica</t>
  </si>
  <si>
    <t>Redet. Adicionales</t>
  </si>
  <si>
    <t>certificado bruto</t>
  </si>
  <si>
    <t>PROV</t>
  </si>
  <si>
    <t>Redet. Def. Pend. Cert.</t>
  </si>
  <si>
    <t>SI(O29="sin certificar";(E29*$F$74)-I29;0)</t>
  </si>
  <si>
    <t>#ERROR!</t>
  </si>
  <si>
    <t>ACUMULADO</t>
  </si>
  <si>
    <t>ACUM. REDET.</t>
  </si>
  <si>
    <t>SIN CERTIFICAR</t>
  </si>
  <si>
    <t>REDETER. ESTIMADA SIN PRESENTAR OBRA YA CERTIFICADA -&gt;</t>
  </si>
  <si>
    <t>SIN PAGAR</t>
  </si>
  <si>
    <t>REDETERMINACIONES</t>
  </si>
  <si>
    <t>MOTIVO</t>
  </si>
  <si>
    <t>REDETERMINACION ESTIMADA ADICIONALES BASE SIN PRESENTAR -&gt;</t>
  </si>
  <si>
    <t>CONTRATACIONES DIRECTAS</t>
  </si>
  <si>
    <t>OBRAS COMPLEMENTARIAS</t>
  </si>
  <si>
    <t>OBRAS DE HORMIGON</t>
  </si>
  <si>
    <t>ALTE BROWN Y DUPLEX DE CONGRESO</t>
  </si>
  <si>
    <t>MES BASE</t>
  </si>
  <si>
    <t>PLAYON VERTIENTES</t>
  </si>
  <si>
    <t>RECEPCION PROV</t>
  </si>
  <si>
    <t>RECLAMOS Y PENDIENTES</t>
  </si>
  <si>
    <t>CAMIONETA Y NIVEL LASER NO ENTREGADOS</t>
  </si>
  <si>
    <t>RENOVACIÓN DE CONEXIONES VALLE AGRELO I y II</t>
  </si>
  <si>
    <t>REDETERMINACION ESTIMADA OBRA BASE SIN PRESENTAR -&gt;</t>
  </si>
  <si>
    <t>CONEXIÓN CLOACAL Bº FUERZA UNIDA</t>
  </si>
  <si>
    <t>CONEXIONES Bº JARDÍN Y OTROS</t>
  </si>
  <si>
    <t>EN EJECUCIÓN</t>
  </si>
  <si>
    <t>#N/A</t>
  </si>
  <si>
    <t>Desacopio</t>
  </si>
  <si>
    <t>31/01/19-28/02/19</t>
  </si>
  <si>
    <t>28/02/19-31/03/19</t>
  </si>
  <si>
    <t>01/04/19-30/04/19</t>
  </si>
  <si>
    <t>01/05/19-31/05/19</t>
  </si>
  <si>
    <t>01/06/19-30/06/19</t>
  </si>
  <si>
    <t>DEUDA A LA FECHA CON GAIDO - PRESENTADO</t>
  </si>
  <si>
    <t>01/07/19-31/07/19</t>
  </si>
  <si>
    <t>REDETERINACIONES PROVISORIAS</t>
  </si>
  <si>
    <t>01/08/19-31/08/19</t>
  </si>
  <si>
    <t>01/19/19-30/09/19</t>
  </si>
  <si>
    <t>01/10/19-31/10/19</t>
  </si>
  <si>
    <t>01/11/19-30/11/19</t>
  </si>
  <si>
    <t>01/12/19-31/12/19</t>
  </si>
  <si>
    <t>01/01/20-31/01/20</t>
  </si>
  <si>
    <t>SUBTOTAL</t>
  </si>
  <si>
    <t>01/02/20-29/02/20</t>
  </si>
  <si>
    <t>ADICIONAL</t>
  </si>
  <si>
    <t>01/03/20-31/03/20</t>
  </si>
  <si>
    <t>01/04/20-30/04/20</t>
  </si>
  <si>
    <t>01/05/20-29/05/20</t>
  </si>
  <si>
    <t>TOTAL CON ADICIONAL</t>
  </si>
  <si>
    <t>01/06/20-30/06/20</t>
  </si>
  <si>
    <t>MULTAS/RECLAMOS Y PENDIENTES</t>
  </si>
  <si>
    <t>ORDEN DE SERVICIO</t>
  </si>
  <si>
    <t>COBRO</t>
  </si>
  <si>
    <t>CONCEPTO</t>
  </si>
  <si>
    <t>FECHA APLICACIÓN EFECTICA</t>
  </si>
  <si>
    <t>RETRASO REITERADO PLAN DE TRABAJO</t>
  </si>
  <si>
    <t>no aplicada</t>
  </si>
  <si>
    <t>INCUMPLIMIENTO APORTE MOVILIDAD</t>
  </si>
  <si>
    <t>decreto sin firmar</t>
  </si>
  <si>
    <t>AMPLIACIÓN PLAZO 60 DÍAS</t>
  </si>
  <si>
    <t>desc. anticipo</t>
  </si>
  <si>
    <t>real</t>
  </si>
  <si>
    <t>previsto</t>
  </si>
  <si>
    <t>LICITACION</t>
  </si>
  <si>
    <t>PARALIZADA</t>
  </si>
  <si>
    <t>FLETE&gt;&gt;&gt;</t>
  </si>
  <si>
    <t>RECEP DEF</t>
  </si>
  <si>
    <t>falta adicional</t>
  </si>
  <si>
    <t>COLECTOR CALLE JUJUY - ALBERTI</t>
  </si>
  <si>
    <t>MATERIALES ILUM PARQUE FERRY</t>
  </si>
  <si>
    <t>MANO DE OBRA ILUMINACIÓN PARQUE FERRY</t>
  </si>
  <si>
    <t>RED DISTRIBUIDORA DE AGUA PIM 2DA ETAPA</t>
  </si>
  <si>
    <t>ILUMINACION PARQUE RIBERA 1° Etapa</t>
  </si>
  <si>
    <t>no pago</t>
  </si>
  <si>
    <t>NOMBRE</t>
  </si>
  <si>
    <t>Descripción</t>
  </si>
  <si>
    <t>Estado</t>
  </si>
  <si>
    <t>N° EXPTE</t>
  </si>
  <si>
    <t>TIPO DE CONTRATACION</t>
  </si>
  <si>
    <t>Presupuesto Oficial</t>
  </si>
  <si>
    <t>Plazo de Obra</t>
  </si>
  <si>
    <t>Ubicación</t>
  </si>
  <si>
    <t>Inicio</t>
  </si>
  <si>
    <t>Fin</t>
  </si>
  <si>
    <t>MATERIALES ILUMINACIÓN PARQUE FERRY</t>
  </si>
  <si>
    <t>Compra de luminarias para instalación en el Parque de la Estación del Ferrocarril</t>
  </si>
  <si>
    <t>10808/20</t>
  </si>
  <si>
    <t>Lic. Pública</t>
  </si>
  <si>
    <t>CIUDAD</t>
  </si>
  <si>
    <t>Parque Lineal desde el Espacio del Ferrocarril con 1800m de longitud sobre calle Saba Hernandez y Gaviola en el tramo Azcuénaga hasta Alberti</t>
  </si>
  <si>
    <t>12333/20</t>
  </si>
  <si>
    <t>$ 79.712.121,11</t>
  </si>
  <si>
    <t>OBRAS DE HORMIGON 1ra ETAPA</t>
  </si>
  <si>
    <t>Ejecución de cordón, cuneta y banquina en distintos puntos del Dpto.</t>
  </si>
  <si>
    <t>12378/20</t>
  </si>
  <si>
    <t>$ 7.001.148,60</t>
  </si>
  <si>
    <t>UBICAC. VARIAS</t>
  </si>
  <si>
    <t>PROVISION DE ASFALTO PLAN DE PAVIMENTACION 2021 ETAPA 1</t>
  </si>
  <si>
    <t>Primera etapa del 2021 de provisión de material asfaltico para tareas de pavimentación en distintos puntos del Dpto</t>
  </si>
  <si>
    <t>1600/21</t>
  </si>
  <si>
    <t>REMODELACIÓN POLIDEPORTIVO CARRODILLA</t>
  </si>
  <si>
    <t>Puesta en valor y recuperación del espacio deportivo del Polideportivo, Refacción de zona techada y construcción cancha de cesped sintético</t>
  </si>
  <si>
    <t>1723/21</t>
  </si>
  <si>
    <t>$ 17.000.000,00</t>
  </si>
  <si>
    <t>CARRODILLA</t>
  </si>
  <si>
    <t>Mano de obra para colocación de luminarias en el Parque de la Estación del Ferrocarril</t>
  </si>
  <si>
    <t>2271/21</t>
  </si>
  <si>
    <t>ILUMINACION PASEO DE LAS ADVOCACIONES</t>
  </si>
  <si>
    <t>Iluminación con tecnología LED del Paseo situado en calle Chile</t>
  </si>
  <si>
    <t>2272/21</t>
  </si>
  <si>
    <t>PLAZA DE JUEGOS PARQUE RIBERA LUJAN</t>
  </si>
  <si>
    <t>Construcción de Plaza de Juegos para Niños en el Parque Ribera Luján</t>
  </si>
  <si>
    <t>3995/21</t>
  </si>
  <si>
    <t>$ 49.974.265,00</t>
  </si>
  <si>
    <t>COMISARIA 11 ETAPA 2</t>
  </si>
  <si>
    <t>Construcción de Edificio destinado al traslado de la Comisaría 11 ubicado en calle Guiñazú hasta calle San Martín frente al Parque Ribera Luján</t>
  </si>
  <si>
    <t>4025/21</t>
  </si>
  <si>
    <t>$ 47.611.375,69</t>
  </si>
  <si>
    <t>CALLE BOEDO</t>
  </si>
  <si>
    <t>Construcción de cuneta, cordón y banquina sobre calle Boedo al este de Acc. Sur</t>
  </si>
  <si>
    <t>4617/21</t>
  </si>
  <si>
    <t>$ 14.991.523,00</t>
  </si>
  <si>
    <t>Construcción de cuneta, cordón y banquina sobre calle Alte Brown y el B° Dúplex de Congreso</t>
  </si>
  <si>
    <t>4618/21</t>
  </si>
  <si>
    <t>$ 14.971.136,00</t>
  </si>
  <si>
    <t>CHACRAS</t>
  </si>
  <si>
    <t>Construcción de Plaza con espacio deportivo en el Distrito de Vertientes del Pedemonte</t>
  </si>
  <si>
    <t>4626/21</t>
  </si>
  <si>
    <t>$ 7.689.138,00</t>
  </si>
  <si>
    <t>VERTIENTES DEL PEDEMONTE</t>
  </si>
  <si>
    <t>Primera Etapa - Provisión e Instalación de luminarias en el Parque Ribera Luján</t>
  </si>
  <si>
    <t>5050/21</t>
  </si>
  <si>
    <t>PROVISION DE MATERIAL PARA TAREAS DE BACHEO 2021 ETAPA 1</t>
  </si>
  <si>
    <t>Primera etapa del 2021 de provisión de material asfaltico para tareas de Bacheo en distintos puntos del Dpto</t>
  </si>
  <si>
    <t>5936/21</t>
  </si>
  <si>
    <t>ACCESO PIM</t>
  </si>
  <si>
    <t>Construcción Nuevo de Ingreso vehicular, Cierre Perimetral y Cámaras de Seguridad en el predio del Parque Industrial Municipal del Dpto</t>
  </si>
  <si>
    <t>EN EJECUCION</t>
  </si>
  <si>
    <t>9215/21</t>
  </si>
  <si>
    <t>$ 45.237.120,00</t>
  </si>
  <si>
    <t>DISTRITO INDUSTRIAL</t>
  </si>
  <si>
    <t>SEDE DEFENSA CIVIL</t>
  </si>
  <si>
    <t>Remodelación edificio para traslado de la Sede de Desfensa Civil dentro del predio Parque Ribera Luján</t>
  </si>
  <si>
    <t>11426/21</t>
  </si>
  <si>
    <t>PERDRIEL</t>
  </si>
  <si>
    <t>TERRAPLEN Y BASE COLECTORAS</t>
  </si>
  <si>
    <t>Construcción de terraplen, relleno con base estabilizada y compactación para posterior tareas de pavimentación sobre colectoras de calle Castro Barros y RN 40</t>
  </si>
  <si>
    <t>13743/21</t>
  </si>
  <si>
    <t>PROVISION DE ASFALTO PLAN DE PAVIMENTACION 2021 ETAPA 2</t>
  </si>
  <si>
    <t>Segunda etapa del 2021 de provisión de material asfaltico para tareas de pavimentación en distintos puntos del Dpto</t>
  </si>
  <si>
    <t>14230/21</t>
  </si>
  <si>
    <t>PROVISION DE MATERIAL PARA TAREAS DE BACHEO 2021 ETAPA 2</t>
  </si>
  <si>
    <t>Segunda etapa del 2021 de provisión de material asfaltico para tareas de Bacheo en distintos puntos del Dpto</t>
  </si>
  <si>
    <t>14832/21</t>
  </si>
  <si>
    <t>CIERRE PERIMETRAL PLAZA DE LOS NIÑOS</t>
  </si>
  <si>
    <t>Cierre Perimetral de seguridad para la plaza ubicada en el Parque Ribera Luján</t>
  </si>
  <si>
    <t>15876/21</t>
  </si>
  <si>
    <t>$ 10.808.657,92</t>
  </si>
  <si>
    <t>RENOVACION URBANA DISTRITO CARRODILLA</t>
  </si>
  <si>
    <t>Recuperación y puesta en valor de Plazas en el Distrito de Carrodilla. Plaza Loyola, Plaza Malvinas Argentinas y Los Olivos</t>
  </si>
  <si>
    <t>15887/21</t>
  </si>
  <si>
    <t>$ 121.314.254,28</t>
  </si>
  <si>
    <t>PROVISION DE ASFALTO PLAN DE PAVIMENTACION 2022 ETAPA 1</t>
  </si>
  <si>
    <t>Primera etapa del 2022 de provisión de material asfaltico para tareas de pavimentación en distintos puntos del Dpto</t>
  </si>
  <si>
    <t>1234/22</t>
  </si>
  <si>
    <t>$ 50.600.000,00</t>
  </si>
  <si>
    <t>TOTEM POTRERILLOS</t>
  </si>
  <si>
    <t>Construcción de tótem para el ingreso al distrito de Potrerillos</t>
  </si>
  <si>
    <t>PROC. ADJ.</t>
  </si>
  <si>
    <t>3662/22</t>
  </si>
  <si>
    <t>Lic. Privada</t>
  </si>
  <si>
    <t>$ 2.587.848,80</t>
  </si>
  <si>
    <t>POTRERILLOS</t>
  </si>
  <si>
    <t>PUENTES ALZAGA Y CALLEJON CANDELARIA</t>
  </si>
  <si>
    <t>Construcción de Puentes sobre calle Alzaga y Callejón Candelaria para dar continuidad a la red de ciclovías del Dpto</t>
  </si>
  <si>
    <t>4399/22</t>
  </si>
  <si>
    <t>$ 4.043.130,85</t>
  </si>
  <si>
    <t>&lt;  INDICE</t>
  </si>
  <si>
    <t>PARQUE CIVICO - REMODELACIÓN DE EDIFICIOS</t>
  </si>
  <si>
    <t>PARQUE CIVICO - PINTURA DE EDIFICIOS</t>
  </si>
  <si>
    <t>PARQUE CIVICO - ENSANCHE BOEDO</t>
  </si>
  <si>
    <t>PARQUE CIVICO - CIERRE</t>
  </si>
  <si>
    <t>TRASLADO DE CIERRE CASA VIDELA</t>
  </si>
  <si>
    <t>REMODELACIÓN CENTRO CARRODILLA (PASO - CARRODILLA)</t>
  </si>
  <si>
    <t>PARQUE CÍVICO - SEÑALÉTICA EDIFICIO</t>
  </si>
  <si>
    <t>CONSTRUCCION COMISARIA 11</t>
  </si>
  <si>
    <t>INTERSECCIÓN BRANDSEN Y RUTA 15</t>
  </si>
  <si>
    <t>NAVE DE USOS MULTIPLES - CLUB FERROVIARIO</t>
  </si>
  <si>
    <t>PERFORACION PROYECTO RIBERA</t>
  </si>
  <si>
    <t>COLECTORA Y CONEXIONES - B° CORDÓN DEL PLATA</t>
  </si>
  <si>
    <t>CLOACAS PERDRIEL</t>
  </si>
  <si>
    <t>REDES DE AGUA P.I.M.</t>
  </si>
  <si>
    <t>PAVIMENTACION ETAPA II-A</t>
  </si>
  <si>
    <t>PAVIMENTACION ETAPA II-B</t>
  </si>
  <si>
    <t>INTERCAMBIADORES</t>
  </si>
  <si>
    <t>PAVIMENTO POR ADMINISTRACION</t>
  </si>
  <si>
    <t>PERFORACION COSTA ESPERANZA</t>
  </si>
  <si>
    <t>CORDON CUNETA Y BANQUINA ETAPA 2</t>
  </si>
  <si>
    <t>PAVIMENTO POR ADMINISTRACION 2020</t>
  </si>
  <si>
    <t>PAVIMENTO II C</t>
  </si>
  <si>
    <t>CLOACAS DE CHACRAS</t>
  </si>
  <si>
    <t>ILUMINACION PLAYA PARQUE CIVICO</t>
  </si>
  <si>
    <t>REMODELACIÓN INST. ELECTRICA E ILUMINACION INTERIOR - PARQUE CIVICO</t>
  </si>
  <si>
    <t>TRASLADO Y SUBTERRANIZACION LMT</t>
  </si>
  <si>
    <t>CONSTRUCCION CAMARA TRANSFORMADORA A NIVEL</t>
  </si>
  <si>
    <t>AUMENTO POTENCIA EN PARQUE CIVICO</t>
  </si>
  <si>
    <t>'ASC. PARQ'!A1</t>
  </si>
  <si>
    <t>REFUNCIONALIZACION ALUMBRADO PUBLICO PARQUE CIVICO</t>
  </si>
  <si>
    <t>ALUMBRADO PUBLICO CALLE BOEDO Y TANNAT</t>
  </si>
  <si>
    <t>ABASTECIMIENTO AGUA POTABLE P.I.M.</t>
  </si>
  <si>
    <t>RENOVACION URBANA BOULEBARD LIBERTAD</t>
  </si>
  <si>
    <t>PAVIMENTO POR ADMINISTRACION 2020 - 2da etapa</t>
  </si>
  <si>
    <t>CARGAR</t>
  </si>
  <si>
    <t>13008/18</t>
  </si>
  <si>
    <t>13006/18</t>
  </si>
  <si>
    <t>13845/18</t>
  </si>
  <si>
    <t>154/19</t>
  </si>
  <si>
    <t>8506/18</t>
  </si>
  <si>
    <t>8638/18</t>
  </si>
  <si>
    <t>2210/19</t>
  </si>
  <si>
    <t>2524/18</t>
  </si>
  <si>
    <t>8952/18</t>
  </si>
  <si>
    <t>13638/18</t>
  </si>
  <si>
    <t>10925/18</t>
  </si>
  <si>
    <t>10826/18</t>
  </si>
  <si>
    <t>8928/16</t>
  </si>
  <si>
    <t>8816/18</t>
  </si>
  <si>
    <t>13686/16</t>
  </si>
  <si>
    <t>13691/16</t>
  </si>
  <si>
    <t>2927/19</t>
  </si>
  <si>
    <t>9188/18</t>
  </si>
  <si>
    <t>12071/13</t>
  </si>
  <si>
    <t>7609/18</t>
  </si>
  <si>
    <t>1439/20</t>
  </si>
  <si>
    <t>14535/19</t>
  </si>
  <si>
    <t>7302/20</t>
  </si>
  <si>
    <t>13692/18</t>
  </si>
  <si>
    <t>13467/18</t>
  </si>
  <si>
    <t>4666/19</t>
  </si>
  <si>
    <t>5142/19</t>
  </si>
  <si>
    <t>13088/18</t>
  </si>
  <si>
    <t>13691/18</t>
  </si>
  <si>
    <t>13147/18</t>
  </si>
  <si>
    <t>3186/19</t>
  </si>
  <si>
    <t>11078/16</t>
  </si>
  <si>
    <t>13667/18</t>
  </si>
  <si>
    <t>3524/20</t>
  </si>
  <si>
    <t>N° PROV</t>
  </si>
  <si>
    <t>PROVEEDOR</t>
  </si>
  <si>
    <t>INGSE</t>
  </si>
  <si>
    <t>CACSA</t>
  </si>
  <si>
    <t>PAGLIARA</t>
  </si>
  <si>
    <t>SAXON S.A.</t>
  </si>
  <si>
    <t>CICSA</t>
  </si>
  <si>
    <t>SAN GUILLERMO</t>
  </si>
  <si>
    <t>PUBLICIDAD SARMIENTO</t>
  </si>
  <si>
    <t>DELTA CONST.</t>
  </si>
  <si>
    <t>DYGA ING. S.R.L.</t>
  </si>
  <si>
    <t>VAKFI</t>
  </si>
  <si>
    <t>APOLO SUR S.A.</t>
  </si>
  <si>
    <t>RENTAL S.A.</t>
  </si>
  <si>
    <t>GENCO S.A.</t>
  </si>
  <si>
    <t>CARTAGENA RUIZ</t>
  </si>
  <si>
    <t>LAUGERO CONST.</t>
  </si>
  <si>
    <t>CEOSA</t>
  </si>
  <si>
    <t>STORNINI S.A.</t>
  </si>
  <si>
    <t>FRETTES HNOS S.A.</t>
  </si>
  <si>
    <t>INDUSTRIAS LORIEN</t>
  </si>
  <si>
    <t>KRAFT</t>
  </si>
  <si>
    <t>CONVICCION S.A.</t>
  </si>
  <si>
    <t>RODRIGUEZ RENEDO</t>
  </si>
  <si>
    <t>ISORA S.A.</t>
  </si>
  <si>
    <t>CAPSA</t>
  </si>
  <si>
    <t>HUEPIL S.A.</t>
  </si>
  <si>
    <t>DICLA S.R.L.</t>
  </si>
  <si>
    <t>PORT MOBILE S.A.</t>
  </si>
  <si>
    <t>plazo original</t>
  </si>
  <si>
    <t>Ampliacion</t>
  </si>
  <si>
    <t>Nuevo fin</t>
  </si>
  <si>
    <t>Obra base</t>
  </si>
  <si>
    <t>Redeterm</t>
  </si>
  <si>
    <t>Var. Precios</t>
  </si>
  <si>
    <t>Adicional</t>
  </si>
  <si>
    <t>Cont. Directa</t>
  </si>
  <si>
    <t>Obras Comp.</t>
  </si>
  <si>
    <t>Acopio Mater.</t>
  </si>
  <si>
    <t>Anticipo Finan.</t>
  </si>
  <si>
    <t>Certificado Bruto</t>
  </si>
  <si>
    <t>Cert B 1</t>
  </si>
  <si>
    <t>Cert B 2</t>
  </si>
  <si>
    <t>Cert B 3</t>
  </si>
  <si>
    <t>Cert B 4</t>
  </si>
  <si>
    <t>Cert B 5</t>
  </si>
  <si>
    <t>Cert B 6</t>
  </si>
  <si>
    <t>Cert B 7</t>
  </si>
  <si>
    <t>Cert B 8</t>
  </si>
  <si>
    <t>Cert B 9</t>
  </si>
  <si>
    <t>Cert B 10</t>
  </si>
  <si>
    <t>Cert B 11</t>
  </si>
  <si>
    <t>Cert B 12</t>
  </si>
  <si>
    <t>Cert B 13</t>
  </si>
  <si>
    <t>Cert B 14</t>
  </si>
  <si>
    <t>Cert B 15</t>
  </si>
  <si>
    <t>Cert B 16</t>
  </si>
  <si>
    <t>Cert B 17</t>
  </si>
  <si>
    <t>Cert B 18</t>
  </si>
  <si>
    <t>Cert B 19</t>
  </si>
  <si>
    <t>Cert B 20</t>
  </si>
  <si>
    <t>Certificado Neto</t>
  </si>
  <si>
    <t>Cert 1</t>
  </si>
  <si>
    <t>Cert 2</t>
  </si>
  <si>
    <t>Cert 3</t>
  </si>
  <si>
    <t>Cert 4</t>
  </si>
  <si>
    <t>Cert 5</t>
  </si>
  <si>
    <t>Cert 6</t>
  </si>
  <si>
    <t>Cert 7</t>
  </si>
  <si>
    <t>Cert 8</t>
  </si>
  <si>
    <t>Cert 9</t>
  </si>
  <si>
    <t>Cert 10</t>
  </si>
  <si>
    <t>Cert 11</t>
  </si>
  <si>
    <t>Cert 12</t>
  </si>
  <si>
    <t>Cert 13</t>
  </si>
  <si>
    <t>Cert 14</t>
  </si>
  <si>
    <t>Cert 15</t>
  </si>
  <si>
    <t>Cert 16</t>
  </si>
  <si>
    <t>Cert 17</t>
  </si>
  <si>
    <t>Cert 18</t>
  </si>
  <si>
    <t>Cert 19</t>
  </si>
  <si>
    <t>Cert 20</t>
  </si>
  <si>
    <t>Redet. Prov.</t>
  </si>
  <si>
    <t>Redet P 1</t>
  </si>
  <si>
    <t>Redet P 2</t>
  </si>
  <si>
    <t>Redet P 3</t>
  </si>
  <si>
    <t>Redet P 4</t>
  </si>
  <si>
    <t>Redet P 5</t>
  </si>
  <si>
    <t>Redet P 6</t>
  </si>
  <si>
    <t>Redet P 7</t>
  </si>
  <si>
    <t>Redet P 8</t>
  </si>
  <si>
    <t>Redet P 9</t>
  </si>
  <si>
    <t>Redet P 10</t>
  </si>
  <si>
    <t>Redet P 11</t>
  </si>
  <si>
    <t>Redet P 12</t>
  </si>
  <si>
    <t>Redet P 13</t>
  </si>
  <si>
    <t>Redet P 14</t>
  </si>
  <si>
    <t>Redet P 15</t>
  </si>
  <si>
    <t>Redet P 16</t>
  </si>
  <si>
    <t>Redet P 17</t>
  </si>
  <si>
    <t>Redet P 18</t>
  </si>
  <si>
    <t>Redet P 19</t>
  </si>
  <si>
    <t>Redet P 20</t>
  </si>
  <si>
    <t>Redet. Definit.</t>
  </si>
  <si>
    <t>Redet D 1</t>
  </si>
  <si>
    <t>Redet D 2</t>
  </si>
  <si>
    <t>Redet D 3</t>
  </si>
  <si>
    <t>Redet D 4</t>
  </si>
  <si>
    <t>Redet D 5</t>
  </si>
  <si>
    <t>Redet D 6</t>
  </si>
  <si>
    <t>Redet D 7</t>
  </si>
  <si>
    <t>Redet D 8</t>
  </si>
  <si>
    <t>Redet D 9</t>
  </si>
  <si>
    <t>Redet D 10</t>
  </si>
  <si>
    <t>Redet D 11</t>
  </si>
  <si>
    <t>Redet D 12</t>
  </si>
  <si>
    <t>Redet D 13</t>
  </si>
  <si>
    <t>Redet D 14</t>
  </si>
  <si>
    <t>Redet D 15</t>
  </si>
  <si>
    <t>Redet D 16</t>
  </si>
  <si>
    <t>Redet D 17</t>
  </si>
  <si>
    <t>Redet D 18</t>
  </si>
  <si>
    <t>Redet D 19</t>
  </si>
  <si>
    <t>Redet D 20</t>
  </si>
  <si>
    <t>ADIC 1</t>
  </si>
  <si>
    <t>ADIC 2</t>
  </si>
  <si>
    <t>ADIC 3</t>
  </si>
  <si>
    <t>ADIC 4</t>
  </si>
  <si>
    <t>Redet. Prov. Adic</t>
  </si>
  <si>
    <t>Red P Ad 1</t>
  </si>
  <si>
    <t>Red P Ad 2</t>
  </si>
  <si>
    <t>Red P Ad 3</t>
  </si>
  <si>
    <t>Red P Ad 4</t>
  </si>
  <si>
    <t>Redet. Def. Adic</t>
  </si>
  <si>
    <t>Red D Ad 1</t>
  </si>
  <si>
    <t>Red D Ad 2</t>
  </si>
  <si>
    <t>Red D Ad 3</t>
  </si>
  <si>
    <t>Red D Ad 4</t>
  </si>
  <si>
    <t>Cont D 1</t>
  </si>
  <si>
    <t>Cont D 2</t>
  </si>
  <si>
    <t>Cont D 3</t>
  </si>
  <si>
    <t>Cont D 4</t>
  </si>
  <si>
    <t>Cont D 5</t>
  </si>
  <si>
    <t>Obras Comp. 1</t>
  </si>
  <si>
    <t>Obras Comp. 2</t>
  </si>
  <si>
    <t>Obras Comp. 3</t>
  </si>
  <si>
    <t>Obras Comp. 4</t>
  </si>
  <si>
    <t>Renegociación</t>
  </si>
  <si>
    <t>RENEG. 1</t>
  </si>
  <si>
    <t>RENEG. 2</t>
  </si>
  <si>
    <t>RENEG. 3</t>
  </si>
  <si>
    <t>RENEG. 4</t>
  </si>
  <si>
    <t>Redet. Acopio</t>
  </si>
  <si>
    <t>Red P Acopio</t>
  </si>
  <si>
    <t>Red D Acopio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</si>
</sst>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&quot;$&quot;\ * #,##0.00_-;\-&quot;$&quot;\ * #,##0.00_-;_-&quot;$&quot;\ * &quot;-&quot;??_-;_-@"/>
    <numFmt numFmtId="165" formatCode="dd&quot;/&quot;mm&quot;/&quot;yy"/>
    <numFmt numFmtId="166" formatCode="0\ &quot;días&quot;"/>
    <numFmt numFmtId="167" formatCode="dd/mm/yy"/>
    <numFmt numFmtId="168" formatCode="&quot;CERT &quot;0"/>
    <numFmt numFmtId="169" formatCode="mmm\-yyyy"/>
    <numFmt numFmtId="170" formatCode="d/m/yy"/>
    <numFmt numFmtId="171" formatCode="mmm&quot; &quot;yyyy"/>
    <numFmt numFmtId="172" formatCode="d&quot;/&quot;mm&quot;/&quot;yy"/>
    <numFmt numFmtId="173" formatCode="d/m"/>
    <numFmt numFmtId="174" formatCode="d/mm/yyyy"/>
    <numFmt numFmtId="175" formatCode="_-[$$-2C0A]\ * #,##0.00_-;\-[$$-2C0A]\ * #,##0.00_-;_-[$$-2C0A]\ * &quot;-&quot;??_-;_-@"/>
    <numFmt numFmtId="176" formatCode="0\ &quot;DÍAS&quot;"/>
  </numFmts>
  <fonts count="29">
    <font>
      <sz val="11"/>
      <color theme="1"/>
      <name val="Calibri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8"/>
      <color theme="1"/>
      <name val="Arial Black"/>
      <family val="2"/>
    </font>
    <font>
      <b/>
      <u/>
      <sz val="20"/>
      <color theme="1"/>
      <name val="Arial Black"/>
      <family val="2"/>
    </font>
    <font>
      <sz val="11"/>
      <name val="Calibri"/>
      <family val="2"/>
    </font>
    <font>
      <b/>
      <sz val="20"/>
      <color theme="1"/>
      <name val="Arial Black"/>
      <family val="2"/>
    </font>
    <font>
      <b/>
      <u/>
      <sz val="18"/>
      <color theme="10"/>
      <name val="Calibri"/>
      <family val="2"/>
    </font>
    <font>
      <b/>
      <sz val="18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5"/>
      <color theme="1"/>
      <name val="Calibri"/>
      <family val="2"/>
    </font>
    <font>
      <b/>
      <sz val="15"/>
      <color rgb="FFFF0000"/>
      <name val="Calibri"/>
      <family val="2"/>
    </font>
    <font>
      <b/>
      <sz val="12"/>
      <color theme="1"/>
      <name val="Calibri"/>
      <family val="2"/>
    </font>
    <font>
      <sz val="8"/>
      <color theme="1"/>
      <name val="Calibri"/>
      <family val="2"/>
    </font>
    <font>
      <sz val="13"/>
      <color theme="1"/>
      <name val="Calibri"/>
      <family val="2"/>
    </font>
    <font>
      <sz val="12"/>
      <color theme="1"/>
      <name val="Calibri"/>
      <family val="2"/>
    </font>
    <font>
      <sz val="13"/>
      <color rgb="FF000000"/>
      <name val="Calibri"/>
      <family val="2"/>
    </font>
    <font>
      <b/>
      <sz val="12"/>
      <color rgb="FF006600"/>
      <name val="Calibri"/>
      <family val="2"/>
    </font>
    <font>
      <b/>
      <sz val="11"/>
      <color theme="1"/>
      <name val="Calibri"/>
      <family val="2"/>
    </font>
    <font>
      <b/>
      <u/>
      <sz val="15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5"/>
      <color rgb="FF000000"/>
      <name val="Calibri"/>
      <family val="2"/>
    </font>
    <font>
      <b/>
      <sz val="13"/>
      <color theme="1"/>
      <name val="Calibri"/>
      <family val="2"/>
    </font>
    <font>
      <b/>
      <sz val="16"/>
      <color theme="1"/>
      <name val="Calibri"/>
      <family val="2"/>
    </font>
    <font>
      <sz val="8"/>
      <color rgb="FF000000"/>
      <name val="Calibri"/>
      <family val="2"/>
    </font>
    <font>
      <b/>
      <u/>
      <sz val="11"/>
      <color theme="10"/>
      <name val="Calibri"/>
      <family val="2"/>
    </font>
    <font>
      <b/>
      <u/>
      <sz val="11"/>
      <color rgb="FF1155CC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C8C8C8"/>
        <bgColor rgb="FFC8C8C8"/>
      </patternFill>
    </fill>
    <fill>
      <patternFill patternType="solid">
        <fgColor rgb="FF9CC2E5"/>
        <bgColor rgb="FF9CC2E5"/>
      </patternFill>
    </fill>
    <fill>
      <patternFill patternType="solid">
        <fgColor rgb="FFFFFF37"/>
        <bgColor rgb="FFFFFF37"/>
      </patternFill>
    </fill>
    <fill>
      <patternFill patternType="solid">
        <fgColor theme="7"/>
        <bgColor theme="7"/>
      </patternFill>
    </fill>
    <fill>
      <patternFill patternType="solid">
        <fgColor rgb="FFFFFFE7"/>
        <bgColor rgb="FFFFFFE7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9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87">
    <xf numFmtId="0" fontId="0" fillId="0" borderId="0" xfId="0"/>
    <xf numFmtId="0" fontId="1" fillId="0" borderId="0" xfId="0" applyFont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165" fontId="9" fillId="0" borderId="8" xfId="0" applyNumberFormat="1" applyFont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166" fontId="9" fillId="0" borderId="11" xfId="0" applyNumberFormat="1" applyFont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164" fontId="11" fillId="3" borderId="20" xfId="0" applyNumberFormat="1" applyFont="1" applyFill="1" applyBorder="1" applyAlignment="1">
      <alignment horizontal="center" vertical="center"/>
    </xf>
    <xf numFmtId="164" fontId="11" fillId="5" borderId="7" xfId="0" applyNumberFormat="1" applyFont="1" applyFill="1" applyBorder="1" applyAlignment="1">
      <alignment horizontal="right" vertical="center"/>
    </xf>
    <xf numFmtId="164" fontId="11" fillId="5" borderId="23" xfId="0" applyNumberFormat="1" applyFont="1" applyFill="1" applyBorder="1" applyAlignment="1">
      <alignment vertical="center"/>
    </xf>
    <xf numFmtId="164" fontId="11" fillId="0" borderId="26" xfId="0" applyNumberFormat="1" applyFont="1" applyBorder="1" applyAlignment="1">
      <alignment horizontal="right" vertical="center"/>
    </xf>
    <xf numFmtId="164" fontId="11" fillId="0" borderId="27" xfId="0" applyNumberFormat="1" applyFont="1" applyBorder="1" applyAlignment="1">
      <alignment horizontal="right" vertical="center"/>
    </xf>
    <xf numFmtId="164" fontId="11" fillId="0" borderId="14" xfId="0" applyNumberFormat="1" applyFont="1" applyBorder="1" applyAlignment="1">
      <alignment horizontal="right" vertical="center"/>
    </xf>
    <xf numFmtId="164" fontId="11" fillId="0" borderId="28" xfId="0" applyNumberFormat="1" applyFont="1" applyBorder="1" applyAlignment="1">
      <alignment horizontal="right" vertical="center"/>
    </xf>
    <xf numFmtId="164" fontId="11" fillId="0" borderId="29" xfId="0" applyNumberFormat="1" applyFont="1" applyBorder="1" applyAlignment="1">
      <alignment vertical="center"/>
    </xf>
    <xf numFmtId="164" fontId="11" fillId="0" borderId="28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3" fillId="0" borderId="32" xfId="0" applyFont="1" applyBorder="1" applyAlignment="1">
      <alignment horizontal="right" vertical="center"/>
    </xf>
    <xf numFmtId="0" fontId="13" fillId="0" borderId="33" xfId="0" applyFont="1" applyBorder="1" applyAlignment="1">
      <alignment horizontal="center" vertical="center"/>
    </xf>
    <xf numFmtId="164" fontId="13" fillId="0" borderId="34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37" xfId="0" applyFont="1" applyBorder="1" applyAlignment="1">
      <alignment horizontal="center" vertical="center"/>
    </xf>
    <xf numFmtId="164" fontId="13" fillId="0" borderId="37" xfId="0" applyNumberFormat="1" applyFont="1" applyBorder="1" applyAlignment="1">
      <alignment horizontal="center" vertical="center"/>
    </xf>
    <xf numFmtId="164" fontId="15" fillId="7" borderId="38" xfId="0" applyNumberFormat="1" applyFont="1" applyFill="1" applyBorder="1" applyAlignment="1">
      <alignment horizontal="center" vertical="center"/>
    </xf>
    <xf numFmtId="17" fontId="13" fillId="0" borderId="39" xfId="0" applyNumberFormat="1" applyFont="1" applyBorder="1" applyAlignment="1">
      <alignment horizontal="center" vertical="center"/>
    </xf>
    <xf numFmtId="164" fontId="13" fillId="0" borderId="40" xfId="0" applyNumberFormat="1" applyFont="1" applyBorder="1" applyAlignment="1">
      <alignment horizontal="center" vertical="center"/>
    </xf>
    <xf numFmtId="167" fontId="15" fillId="5" borderId="41" xfId="0" applyNumberFormat="1" applyFont="1" applyFill="1" applyBorder="1" applyAlignment="1">
      <alignment horizontal="center" vertical="center"/>
    </xf>
    <xf numFmtId="164" fontId="15" fillId="7" borderId="42" xfId="0" applyNumberFormat="1" applyFont="1" applyFill="1" applyBorder="1" applyAlignment="1">
      <alignment horizontal="center" vertical="center"/>
    </xf>
    <xf numFmtId="164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horizontal="center" vertical="center"/>
    </xf>
    <xf numFmtId="0" fontId="15" fillId="0" borderId="43" xfId="0" applyFont="1" applyBorder="1" applyAlignment="1">
      <alignment vertical="center"/>
    </xf>
    <xf numFmtId="17" fontId="15" fillId="0" borderId="44" xfId="0" applyNumberFormat="1" applyFont="1" applyBorder="1" applyAlignment="1">
      <alignment horizontal="center" vertical="center"/>
    </xf>
    <xf numFmtId="164" fontId="15" fillId="7" borderId="45" xfId="0" applyNumberFormat="1" applyFont="1" applyFill="1" applyBorder="1" applyAlignment="1">
      <alignment horizontal="center" vertical="center"/>
    </xf>
    <xf numFmtId="10" fontId="1" fillId="0" borderId="0" xfId="0" applyNumberFormat="1" applyFont="1" applyAlignment="1">
      <alignment vertical="center"/>
    </xf>
    <xf numFmtId="0" fontId="13" fillId="0" borderId="46" xfId="0" applyFont="1" applyBorder="1" applyAlignment="1">
      <alignment horizontal="center" vertical="center"/>
    </xf>
    <xf numFmtId="164" fontId="13" fillId="5" borderId="47" xfId="0" applyNumberFormat="1" applyFont="1" applyFill="1" applyBorder="1" applyAlignment="1">
      <alignment vertical="center"/>
    </xf>
    <xf numFmtId="0" fontId="13" fillId="0" borderId="47" xfId="0" applyFont="1" applyBorder="1" applyAlignment="1">
      <alignment horizontal="center" vertical="center"/>
    </xf>
    <xf numFmtId="164" fontId="13" fillId="6" borderId="47" xfId="0" applyNumberFormat="1" applyFont="1" applyFill="1" applyBorder="1" applyAlignment="1">
      <alignment vertical="center"/>
    </xf>
    <xf numFmtId="164" fontId="13" fillId="7" borderId="47" xfId="0" applyNumberFormat="1" applyFont="1" applyFill="1" applyBorder="1" applyAlignment="1">
      <alignment vertical="center"/>
    </xf>
    <xf numFmtId="164" fontId="13" fillId="0" borderId="48" xfId="0" applyNumberFormat="1" applyFont="1" applyBorder="1" applyAlignment="1">
      <alignment vertical="center"/>
    </xf>
    <xf numFmtId="0" fontId="18" fillId="0" borderId="46" xfId="0" applyFont="1" applyBorder="1" applyAlignment="1">
      <alignment horizontal="center" vertical="center"/>
    </xf>
    <xf numFmtId="164" fontId="18" fillId="0" borderId="47" xfId="0" applyNumberFormat="1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164" fontId="13" fillId="5" borderId="51" xfId="0" applyNumberFormat="1" applyFont="1" applyFill="1" applyBorder="1" applyAlignment="1">
      <alignment vertical="center"/>
    </xf>
    <xf numFmtId="164" fontId="13" fillId="8" borderId="51" xfId="0" applyNumberFormat="1" applyFont="1" applyFill="1" applyBorder="1" applyAlignment="1">
      <alignment vertical="center"/>
    </xf>
    <xf numFmtId="0" fontId="1" fillId="0" borderId="52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1" fillId="0" borderId="53" xfId="0" applyNumberFormat="1" applyFont="1" applyBorder="1" applyAlignment="1">
      <alignment horizontal="center" vertical="center"/>
    </xf>
    <xf numFmtId="0" fontId="13" fillId="0" borderId="54" xfId="0" applyFont="1" applyBorder="1" applyAlignment="1">
      <alignment horizontal="right" vertical="center"/>
    </xf>
    <xf numFmtId="0" fontId="13" fillId="5" borderId="55" xfId="0" applyFont="1" applyFill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17" fontId="13" fillId="6" borderId="55" xfId="0" applyNumberFormat="1" applyFont="1" applyFill="1" applyBorder="1" applyAlignment="1">
      <alignment horizontal="center" vertical="center"/>
    </xf>
    <xf numFmtId="17" fontId="13" fillId="7" borderId="55" xfId="0" applyNumberFormat="1" applyFont="1" applyFill="1" applyBorder="1" applyAlignment="1">
      <alignment vertical="center"/>
    </xf>
    <xf numFmtId="164" fontId="13" fillId="0" borderId="56" xfId="0" applyNumberFormat="1" applyFont="1" applyBorder="1" applyAlignment="1">
      <alignment horizontal="center" vertical="center"/>
    </xf>
    <xf numFmtId="0" fontId="15" fillId="0" borderId="52" xfId="0" applyFont="1" applyBorder="1" applyAlignment="1">
      <alignment vertical="center"/>
    </xf>
    <xf numFmtId="17" fontId="13" fillId="0" borderId="61" xfId="0" applyNumberFormat="1" applyFont="1" applyBorder="1" applyAlignment="1">
      <alignment horizontal="center" vertical="center"/>
    </xf>
    <xf numFmtId="10" fontId="15" fillId="0" borderId="0" xfId="0" applyNumberFormat="1" applyFont="1" applyAlignment="1">
      <alignment vertical="center"/>
    </xf>
    <xf numFmtId="164" fontId="15" fillId="0" borderId="53" xfId="0" applyNumberFormat="1" applyFont="1" applyBorder="1" applyAlignment="1">
      <alignment vertical="center"/>
    </xf>
    <xf numFmtId="164" fontId="13" fillId="6" borderId="51" xfId="0" applyNumberFormat="1" applyFont="1" applyFill="1" applyBorder="1" applyAlignment="1">
      <alignment vertical="center"/>
    </xf>
    <xf numFmtId="164" fontId="13" fillId="7" borderId="51" xfId="0" applyNumberFormat="1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3" fillId="0" borderId="54" xfId="0" applyFont="1" applyBorder="1" applyAlignment="1">
      <alignment horizontal="center" vertical="center"/>
    </xf>
    <xf numFmtId="164" fontId="14" fillId="0" borderId="0" xfId="0" applyNumberFormat="1" applyFont="1" applyAlignment="1">
      <alignment horizontal="right" vertical="center"/>
    </xf>
    <xf numFmtId="167" fontId="10" fillId="4" borderId="67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9" fontId="10" fillId="0" borderId="8" xfId="0" applyNumberFormat="1" applyFont="1" applyBorder="1" applyAlignment="1">
      <alignment horizontal="center" vertical="center"/>
    </xf>
    <xf numFmtId="169" fontId="10" fillId="0" borderId="11" xfId="0" applyNumberFormat="1" applyFont="1" applyBorder="1" applyAlignment="1">
      <alignment horizontal="center" vertical="center"/>
    </xf>
    <xf numFmtId="166" fontId="10" fillId="0" borderId="11" xfId="0" applyNumberFormat="1" applyFont="1" applyBorder="1" applyAlignment="1">
      <alignment horizontal="center" vertical="center"/>
    </xf>
    <xf numFmtId="167" fontId="10" fillId="0" borderId="11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vertical="center"/>
    </xf>
    <xf numFmtId="16" fontId="1" fillId="0" borderId="0" xfId="0" applyNumberFormat="1" applyFont="1" applyAlignment="1">
      <alignment vertical="center"/>
    </xf>
    <xf numFmtId="0" fontId="9" fillId="3" borderId="7" xfId="0" applyFont="1" applyFill="1" applyBorder="1" applyAlignment="1">
      <alignment horizontal="center"/>
    </xf>
    <xf numFmtId="170" fontId="9" fillId="0" borderId="8" xfId="0" applyNumberFormat="1" applyFont="1" applyBorder="1" applyAlignment="1">
      <alignment horizontal="center" vertical="center"/>
    </xf>
    <xf numFmtId="167" fontId="10" fillId="9" borderId="67" xfId="0" applyNumberFormat="1" applyFont="1" applyFill="1" applyBorder="1" applyAlignment="1">
      <alignment horizontal="center" vertical="center"/>
    </xf>
    <xf numFmtId="14" fontId="17" fillId="0" borderId="44" xfId="0" applyNumberFormat="1" applyFont="1" applyBorder="1" applyAlignment="1">
      <alignment horizontal="center" vertical="center"/>
    </xf>
    <xf numFmtId="10" fontId="22" fillId="0" borderId="0" xfId="0" applyNumberFormat="1" applyFont="1" applyAlignment="1">
      <alignment vertical="center"/>
    </xf>
    <xf numFmtId="14" fontId="9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167" fontId="9" fillId="0" borderId="8" xfId="0" applyNumberFormat="1" applyFont="1" applyBorder="1" applyAlignment="1">
      <alignment horizontal="center" vertical="center"/>
    </xf>
    <xf numFmtId="164" fontId="23" fillId="5" borderId="23" xfId="0" applyNumberFormat="1" applyFont="1" applyFill="1" applyBorder="1" applyAlignment="1">
      <alignment vertical="center"/>
    </xf>
    <xf numFmtId="164" fontId="23" fillId="0" borderId="29" xfId="0" applyNumberFormat="1" applyFont="1" applyBorder="1" applyAlignment="1">
      <alignment vertical="center"/>
    </xf>
    <xf numFmtId="171" fontId="9" fillId="0" borderId="8" xfId="0" applyNumberFormat="1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164" fontId="16" fillId="0" borderId="37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7" fontId="16" fillId="0" borderId="39" xfId="0" applyNumberFormat="1" applyFont="1" applyBorder="1" applyAlignment="1">
      <alignment horizontal="center" vertical="center"/>
    </xf>
    <xf numFmtId="164" fontId="16" fillId="0" borderId="40" xfId="0" applyNumberFormat="1" applyFont="1" applyBorder="1" applyAlignment="1">
      <alignment horizontal="center" vertical="center"/>
    </xf>
    <xf numFmtId="0" fontId="25" fillId="0" borderId="69" xfId="0" applyFont="1" applyBorder="1" applyAlignment="1">
      <alignment vertical="center"/>
    </xf>
    <xf numFmtId="0" fontId="1" fillId="0" borderId="69" xfId="0" applyFont="1" applyBorder="1" applyAlignment="1">
      <alignment vertical="center"/>
    </xf>
    <xf numFmtId="0" fontId="15" fillId="0" borderId="69" xfId="0" applyFont="1" applyBorder="1" applyAlignment="1">
      <alignment vertical="center"/>
    </xf>
    <xf numFmtId="17" fontId="15" fillId="0" borderId="69" xfId="0" applyNumberFormat="1" applyFont="1" applyBorder="1" applyAlignment="1">
      <alignment horizontal="center" vertical="center"/>
    </xf>
    <xf numFmtId="164" fontId="1" fillId="0" borderId="69" xfId="0" applyNumberFormat="1" applyFont="1" applyBorder="1" applyAlignment="1">
      <alignment vertical="center"/>
    </xf>
    <xf numFmtId="164" fontId="26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center"/>
    </xf>
    <xf numFmtId="164" fontId="19" fillId="0" borderId="0" xfId="0" applyNumberFormat="1" applyFont="1" applyAlignment="1">
      <alignment vertical="center"/>
    </xf>
    <xf numFmtId="17" fontId="1" fillId="0" borderId="69" xfId="0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0" fontId="17" fillId="0" borderId="43" xfId="0" applyFont="1" applyBorder="1" applyAlignment="1">
      <alignment vertical="center"/>
    </xf>
    <xf numFmtId="0" fontId="17" fillId="0" borderId="44" xfId="0" applyFont="1" applyBorder="1" applyAlignment="1">
      <alignment horizontal="center" vertical="center"/>
    </xf>
    <xf numFmtId="172" fontId="9" fillId="0" borderId="8" xfId="0" applyNumberFormat="1" applyFont="1" applyBorder="1" applyAlignment="1">
      <alignment horizontal="center" vertical="center"/>
    </xf>
    <xf numFmtId="9" fontId="1" fillId="0" borderId="0" xfId="0" applyNumberFormat="1" applyFont="1" applyAlignment="1">
      <alignment vertical="center"/>
    </xf>
    <xf numFmtId="164" fontId="11" fillId="0" borderId="68" xfId="0" applyNumberFormat="1" applyFont="1" applyBorder="1" applyAlignment="1">
      <alignment vertical="center"/>
    </xf>
    <xf numFmtId="164" fontId="11" fillId="0" borderId="70" xfId="0" applyNumberFormat="1" applyFont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164" fontId="17" fillId="7" borderId="45" xfId="0" applyNumberFormat="1" applyFont="1" applyFill="1" applyBorder="1" applyAlignment="1">
      <alignment horizontal="center" vertical="center"/>
    </xf>
    <xf numFmtId="173" fontId="21" fillId="0" borderId="0" xfId="0" applyNumberFormat="1" applyFont="1" applyAlignment="1">
      <alignment vertical="center"/>
    </xf>
    <xf numFmtId="174" fontId="1" fillId="0" borderId="0" xfId="0" applyNumberFormat="1" applyFont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" fillId="0" borderId="5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75" fontId="1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" fillId="0" borderId="17" xfId="0" applyFont="1" applyBorder="1" applyAlignment="1">
      <alignment vertical="center" wrapText="1"/>
    </xf>
    <xf numFmtId="176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167" fontId="1" fillId="0" borderId="52" xfId="0" applyNumberFormat="1" applyFont="1" applyBorder="1" applyAlignment="1">
      <alignment horizontal="right" vertical="center"/>
    </xf>
    <xf numFmtId="167" fontId="1" fillId="0" borderId="17" xfId="0" applyNumberFormat="1" applyFont="1" applyBorder="1" applyAlignment="1">
      <alignment horizontal="right" vertical="center"/>
    </xf>
    <xf numFmtId="0" fontId="1" fillId="3" borderId="74" xfId="0" applyFont="1" applyFill="1" applyBorder="1" applyAlignment="1">
      <alignment horizontal="center" vertical="center"/>
    </xf>
    <xf numFmtId="0" fontId="1" fillId="3" borderId="75" xfId="0" applyFont="1" applyFill="1" applyBorder="1" applyAlignment="1">
      <alignment horizontal="center" vertical="center"/>
    </xf>
    <xf numFmtId="0" fontId="1" fillId="3" borderId="76" xfId="0" applyFont="1" applyFill="1" applyBorder="1" applyAlignment="1">
      <alignment horizontal="center" vertical="center"/>
    </xf>
    <xf numFmtId="0" fontId="1" fillId="3" borderId="77" xfId="0" applyFont="1" applyFill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 wrapText="1"/>
    </xf>
    <xf numFmtId="0" fontId="28" fillId="10" borderId="78" xfId="0" applyFont="1" applyFill="1" applyBorder="1" applyAlignment="1">
      <alignment horizontal="center" vertical="center" wrapText="1"/>
    </xf>
    <xf numFmtId="0" fontId="1" fillId="10" borderId="80" xfId="0" applyFont="1" applyFill="1" applyBorder="1" applyAlignment="1">
      <alignment horizontal="right" vertical="center"/>
    </xf>
    <xf numFmtId="0" fontId="1" fillId="10" borderId="69" xfId="0" applyFont="1" applyFill="1" applyBorder="1" applyAlignment="1">
      <alignment horizontal="right" vertical="center"/>
    </xf>
    <xf numFmtId="0" fontId="1" fillId="10" borderId="81" xfId="0" applyFont="1" applyFill="1" applyBorder="1" applyAlignment="1">
      <alignment horizontal="right" vertical="center"/>
    </xf>
    <xf numFmtId="0" fontId="1" fillId="11" borderId="82" xfId="0" applyFont="1" applyFill="1" applyBorder="1" applyAlignment="1">
      <alignment horizontal="right" vertical="center"/>
    </xf>
    <xf numFmtId="0" fontId="1" fillId="11" borderId="69" xfId="0" applyFont="1" applyFill="1" applyBorder="1" applyAlignment="1">
      <alignment horizontal="right" vertical="center"/>
    </xf>
    <xf numFmtId="0" fontId="21" fillId="10" borderId="69" xfId="0" applyFont="1" applyFill="1" applyBorder="1" applyAlignment="1">
      <alignment horizontal="right" vertical="center"/>
    </xf>
    <xf numFmtId="167" fontId="1" fillId="10" borderId="80" xfId="0" applyNumberFormat="1" applyFont="1" applyFill="1" applyBorder="1" applyAlignment="1">
      <alignment horizontal="right" vertical="center"/>
    </xf>
    <xf numFmtId="167" fontId="1" fillId="10" borderId="69" xfId="0" applyNumberFormat="1" applyFont="1" applyFill="1" applyBorder="1" applyAlignment="1">
      <alignment horizontal="right" vertical="center"/>
    </xf>
    <xf numFmtId="167" fontId="1" fillId="10" borderId="81" xfId="0" applyNumberFormat="1" applyFont="1" applyFill="1" applyBorder="1" applyAlignment="1">
      <alignment horizontal="right" vertical="center"/>
    </xf>
    <xf numFmtId="167" fontId="1" fillId="11" borderId="82" xfId="0" applyNumberFormat="1" applyFont="1" applyFill="1" applyBorder="1" applyAlignment="1">
      <alignment horizontal="right" vertical="center"/>
    </xf>
    <xf numFmtId="167" fontId="1" fillId="11" borderId="69" xfId="0" applyNumberFormat="1" applyFont="1" applyFill="1" applyBorder="1" applyAlignment="1">
      <alignment horizontal="right" vertical="center"/>
    </xf>
    <xf numFmtId="0" fontId="1" fillId="12" borderId="69" xfId="0" applyFont="1" applyFill="1" applyBorder="1" applyAlignment="1">
      <alignment horizontal="right" vertical="center"/>
    </xf>
    <xf numFmtId="167" fontId="1" fillId="0" borderId="27" xfId="0" applyNumberFormat="1" applyFont="1" applyBorder="1" applyAlignment="1">
      <alignment horizontal="right" vertical="center"/>
    </xf>
    <xf numFmtId="167" fontId="1" fillId="0" borderId="82" xfId="0" applyNumberFormat="1" applyFont="1" applyBorder="1" applyAlignment="1">
      <alignment horizontal="right" vertical="center"/>
    </xf>
    <xf numFmtId="164" fontId="1" fillId="10" borderId="80" xfId="0" applyNumberFormat="1" applyFont="1" applyFill="1" applyBorder="1" applyAlignment="1">
      <alignment vertical="center"/>
    </xf>
    <xf numFmtId="164" fontId="1" fillId="10" borderId="69" xfId="0" applyNumberFormat="1" applyFont="1" applyFill="1" applyBorder="1" applyAlignment="1">
      <alignment vertical="center"/>
    </xf>
    <xf numFmtId="164" fontId="1" fillId="10" borderId="81" xfId="0" applyNumberFormat="1" applyFont="1" applyFill="1" applyBorder="1" applyAlignment="1">
      <alignment vertical="center"/>
    </xf>
    <xf numFmtId="164" fontId="1" fillId="11" borderId="82" xfId="0" applyNumberFormat="1" applyFont="1" applyFill="1" applyBorder="1" applyAlignment="1">
      <alignment vertical="center"/>
    </xf>
    <xf numFmtId="164" fontId="1" fillId="11" borderId="69" xfId="0" applyNumberFormat="1" applyFont="1" applyFill="1" applyBorder="1" applyAlignment="1">
      <alignment vertical="center"/>
    </xf>
    <xf numFmtId="164" fontId="21" fillId="10" borderId="69" xfId="0" applyNumberFormat="1" applyFont="1" applyFill="1" applyBorder="1" applyAlignment="1">
      <alignment vertical="center"/>
    </xf>
    <xf numFmtId="164" fontId="1" fillId="0" borderId="82" xfId="0" applyNumberFormat="1" applyFont="1" applyBorder="1" applyAlignment="1">
      <alignment vertical="center"/>
    </xf>
    <xf numFmtId="0" fontId="1" fillId="3" borderId="83" xfId="0" applyFont="1" applyFill="1" applyBorder="1" applyAlignment="1">
      <alignment horizontal="center" vertical="center"/>
    </xf>
    <xf numFmtId="164" fontId="1" fillId="0" borderId="70" xfId="0" applyNumberFormat="1" applyFont="1" applyBorder="1" applyAlignment="1">
      <alignment vertical="center"/>
    </xf>
    <xf numFmtId="164" fontId="1" fillId="0" borderId="84" xfId="0" applyNumberFormat="1" applyFont="1" applyBorder="1" applyAlignment="1">
      <alignment vertical="center"/>
    </xf>
    <xf numFmtId="164" fontId="1" fillId="0" borderId="85" xfId="0" applyNumberFormat="1" applyFont="1" applyBorder="1" applyAlignment="1">
      <alignment vertical="center"/>
    </xf>
    <xf numFmtId="0" fontId="1" fillId="3" borderId="73" xfId="0" applyFont="1" applyFill="1" applyBorder="1" applyAlignment="1">
      <alignment horizontal="center" vertical="center"/>
    </xf>
    <xf numFmtId="164" fontId="1" fillId="10" borderId="79" xfId="0" applyNumberFormat="1" applyFont="1" applyFill="1" applyBorder="1" applyAlignment="1">
      <alignment vertical="center"/>
    </xf>
    <xf numFmtId="164" fontId="1" fillId="10" borderId="78" xfId="0" applyNumberFormat="1" applyFont="1" applyFill="1" applyBorder="1" applyAlignment="1">
      <alignment vertical="center"/>
    </xf>
    <xf numFmtId="164" fontId="1" fillId="11" borderId="79" xfId="0" applyNumberFormat="1" applyFont="1" applyFill="1" applyBorder="1" applyAlignment="1">
      <alignment vertical="center"/>
    </xf>
    <xf numFmtId="164" fontId="1" fillId="11" borderId="78" xfId="0" applyNumberFormat="1" applyFont="1" applyFill="1" applyBorder="1" applyAlignment="1">
      <alignment vertical="center"/>
    </xf>
    <xf numFmtId="164" fontId="1" fillId="10" borderId="85" xfId="0" applyNumberFormat="1" applyFont="1" applyFill="1" applyBorder="1" applyAlignment="1">
      <alignment vertical="center"/>
    </xf>
    <xf numFmtId="164" fontId="1" fillId="10" borderId="84" xfId="0" applyNumberFormat="1" applyFont="1" applyFill="1" applyBorder="1" applyAlignment="1">
      <alignment vertical="center"/>
    </xf>
    <xf numFmtId="164" fontId="1" fillId="10" borderId="86" xfId="0" applyNumberFormat="1" applyFont="1" applyFill="1" applyBorder="1" applyAlignment="1">
      <alignment vertical="center"/>
    </xf>
    <xf numFmtId="164" fontId="1" fillId="11" borderId="85" xfId="0" applyNumberFormat="1" applyFont="1" applyFill="1" applyBorder="1" applyAlignment="1">
      <alignment vertical="center"/>
    </xf>
    <xf numFmtId="164" fontId="1" fillId="11" borderId="84" xfId="0" applyNumberFormat="1" applyFont="1" applyFill="1" applyBorder="1" applyAlignment="1">
      <alignment vertical="center"/>
    </xf>
    <xf numFmtId="0" fontId="1" fillId="3" borderId="69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top"/>
    </xf>
    <xf numFmtId="164" fontId="1" fillId="3" borderId="69" xfId="0" applyNumberFormat="1" applyFont="1" applyFill="1" applyBorder="1" applyAlignment="1">
      <alignment vertical="center"/>
    </xf>
    <xf numFmtId="164" fontId="1" fillId="3" borderId="81" xfId="0" applyNumberFormat="1" applyFont="1" applyFill="1" applyBorder="1" applyAlignment="1">
      <alignment vertical="center"/>
    </xf>
    <xf numFmtId="164" fontId="1" fillId="3" borderId="82" xfId="0" applyNumberFormat="1" applyFont="1" applyFill="1" applyBorder="1" applyAlignment="1">
      <alignment vertical="center"/>
    </xf>
    <xf numFmtId="164" fontId="1" fillId="0" borderId="87" xfId="0" applyNumberFormat="1" applyFont="1" applyBorder="1" applyAlignment="1">
      <alignment vertical="center"/>
    </xf>
    <xf numFmtId="164" fontId="1" fillId="0" borderId="88" xfId="0" applyNumberFormat="1" applyFont="1" applyBorder="1" applyAlignment="1">
      <alignment vertical="center"/>
    </xf>
    <xf numFmtId="164" fontId="1" fillId="0" borderId="89" xfId="0" applyNumberFormat="1" applyFont="1" applyBorder="1" applyAlignment="1">
      <alignment vertical="center"/>
    </xf>
    <xf numFmtId="0" fontId="0" fillId="0" borderId="0" xfId="0" applyAlignment="1">
      <alignment horizontal="right"/>
    </xf>
    <xf numFmtId="0" fontId="1" fillId="0" borderId="9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11" fillId="3" borderId="21" xfId="0" applyNumberFormat="1" applyFont="1" applyFill="1" applyBorder="1" applyAlignment="1">
      <alignment horizontal="center" vertical="center"/>
    </xf>
    <xf numFmtId="164" fontId="11" fillId="3" borderId="22" xfId="0" applyNumberFormat="1" applyFont="1" applyFill="1" applyBorder="1" applyAlignment="1">
      <alignment horizontal="center" vertical="center"/>
    </xf>
    <xf numFmtId="164" fontId="11" fillId="5" borderId="25" xfId="0" applyNumberFormat="1" applyFont="1" applyFill="1" applyBorder="1" applyAlignment="1">
      <alignment horizontal="right" vertical="center"/>
    </xf>
    <xf numFmtId="0" fontId="10" fillId="3" borderId="26" xfId="0" applyFont="1" applyFill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 vertical="center"/>
    </xf>
    <xf numFmtId="166" fontId="10" fillId="0" borderId="67" xfId="0" applyNumberFormat="1" applyFont="1" applyBorder="1" applyAlignment="1">
      <alignment horizontal="center" vertical="center"/>
    </xf>
    <xf numFmtId="0" fontId="10" fillId="3" borderId="68" xfId="0" applyFont="1" applyFill="1" applyBorder="1" applyAlignment="1">
      <alignment horizontal="center" vertical="center"/>
    </xf>
    <xf numFmtId="167" fontId="10" fillId="0" borderId="67" xfId="0" applyNumberFormat="1" applyFont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5" borderId="72" xfId="0" applyFont="1" applyFill="1" applyBorder="1" applyAlignment="1">
      <alignment horizontal="center" vertical="center"/>
    </xf>
    <xf numFmtId="164" fontId="11" fillId="5" borderId="24" xfId="0" applyNumberFormat="1" applyFont="1" applyFill="1" applyBorder="1" applyAlignment="1">
      <alignment horizontal="right" vertical="center"/>
    </xf>
    <xf numFmtId="0" fontId="11" fillId="3" borderId="72" xfId="0" applyFont="1" applyFill="1" applyBorder="1" applyAlignment="1">
      <alignment horizontal="center" vertical="center"/>
    </xf>
    <xf numFmtId="164" fontId="11" fillId="0" borderId="81" xfId="0" applyNumberFormat="1" applyFont="1" applyBorder="1" applyAlignment="1">
      <alignment horizontal="right" vertical="center"/>
    </xf>
    <xf numFmtId="164" fontId="11" fillId="0" borderId="80" xfId="0" applyNumberFormat="1" applyFont="1" applyBorder="1" applyAlignment="1">
      <alignment vertical="center"/>
    </xf>
    <xf numFmtId="0" fontId="12" fillId="3" borderId="72" xfId="0" applyFont="1" applyFill="1" applyBorder="1" applyAlignment="1">
      <alignment horizontal="center" vertical="center"/>
    </xf>
    <xf numFmtId="164" fontId="11" fillId="0" borderId="80" xfId="0" applyNumberFormat="1" applyFont="1" applyBorder="1" applyAlignment="1">
      <alignment horizontal="right" vertical="center"/>
    </xf>
    <xf numFmtId="164" fontId="11" fillId="0" borderId="16" xfId="0" applyNumberFormat="1" applyFont="1" applyBorder="1" applyAlignment="1">
      <alignment horizontal="right" vertical="center"/>
    </xf>
    <xf numFmtId="164" fontId="11" fillId="0" borderId="16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3" fillId="5" borderId="33" xfId="0" applyFont="1" applyFill="1" applyBorder="1" applyAlignment="1">
      <alignment horizontal="center" vertical="center"/>
    </xf>
    <xf numFmtId="17" fontId="13" fillId="6" borderId="33" xfId="0" applyNumberFormat="1" applyFont="1" applyFill="1" applyBorder="1" applyAlignment="1">
      <alignment horizontal="center" vertical="center"/>
    </xf>
    <xf numFmtId="17" fontId="13" fillId="7" borderId="33" xfId="0" applyNumberFormat="1" applyFont="1" applyFill="1" applyBorder="1" applyAlignment="1">
      <alignment vertical="center"/>
    </xf>
    <xf numFmtId="0" fontId="13" fillId="0" borderId="76" xfId="0" applyFont="1" applyBorder="1" applyAlignment="1">
      <alignment horizontal="right" vertical="center"/>
    </xf>
    <xf numFmtId="164" fontId="13" fillId="5" borderId="37" xfId="0" applyNumberFormat="1" applyFont="1" applyFill="1" applyBorder="1" applyAlignment="1">
      <alignment horizontal="center" vertical="center"/>
    </xf>
    <xf numFmtId="164" fontId="13" fillId="6" borderId="37" xfId="0" applyNumberFormat="1" applyFont="1" applyFill="1" applyBorder="1" applyAlignment="1">
      <alignment horizontal="center" vertical="center"/>
    </xf>
    <xf numFmtId="164" fontId="13" fillId="7" borderId="37" xfId="0" applyNumberFormat="1" applyFont="1" applyFill="1" applyBorder="1" applyAlignment="1">
      <alignment horizontal="center" vertical="center"/>
    </xf>
    <xf numFmtId="167" fontId="15" fillId="5" borderId="43" xfId="0" applyNumberFormat="1" applyFont="1" applyFill="1" applyBorder="1" applyAlignment="1">
      <alignment horizontal="center" vertical="center"/>
    </xf>
    <xf numFmtId="164" fontId="15" fillId="5" borderId="37" xfId="0" applyNumberFormat="1" applyFont="1" applyFill="1" applyBorder="1" applyAlignment="1">
      <alignment horizontal="center" vertical="center"/>
    </xf>
    <xf numFmtId="167" fontId="13" fillId="6" borderId="37" xfId="0" applyNumberFormat="1" applyFont="1" applyFill="1" applyBorder="1" applyAlignment="1">
      <alignment horizontal="center" vertical="center"/>
    </xf>
    <xf numFmtId="164" fontId="15" fillId="6" borderId="37" xfId="0" applyNumberFormat="1" applyFont="1" applyFill="1" applyBorder="1" applyAlignment="1">
      <alignment horizontal="center" vertical="center"/>
    </xf>
    <xf numFmtId="167" fontId="13" fillId="7" borderId="37" xfId="0" applyNumberFormat="1" applyFont="1" applyFill="1" applyBorder="1" applyAlignment="1">
      <alignment horizontal="center" vertical="center"/>
    </xf>
    <xf numFmtId="0" fontId="13" fillId="0" borderId="41" xfId="0" applyFont="1" applyBorder="1" applyAlignment="1">
      <alignment horizontal="right" vertical="center"/>
    </xf>
    <xf numFmtId="164" fontId="13" fillId="5" borderId="39" xfId="0" applyNumberFormat="1" applyFont="1" applyFill="1" applyBorder="1" applyAlignment="1">
      <alignment horizontal="center" vertical="center"/>
    </xf>
    <xf numFmtId="164" fontId="13" fillId="6" borderId="39" xfId="0" applyNumberFormat="1" applyFont="1" applyFill="1" applyBorder="1" applyAlignment="1">
      <alignment horizontal="center" vertical="center"/>
    </xf>
    <xf numFmtId="164" fontId="13" fillId="7" borderId="39" xfId="0" applyNumberFormat="1" applyFont="1" applyFill="1" applyBorder="1" applyAlignment="1">
      <alignment horizontal="center" vertical="center"/>
    </xf>
    <xf numFmtId="164" fontId="15" fillId="5" borderId="39" xfId="0" applyNumberFormat="1" applyFont="1" applyFill="1" applyBorder="1" applyAlignment="1">
      <alignment horizontal="center" vertical="center"/>
    </xf>
    <xf numFmtId="167" fontId="13" fillId="6" borderId="39" xfId="0" applyNumberFormat="1" applyFont="1" applyFill="1" applyBorder="1" applyAlignment="1">
      <alignment horizontal="center" vertical="center"/>
    </xf>
    <xf numFmtId="164" fontId="15" fillId="6" borderId="39" xfId="0" applyNumberFormat="1" applyFont="1" applyFill="1" applyBorder="1" applyAlignment="1">
      <alignment horizontal="center" vertical="center"/>
    </xf>
    <xf numFmtId="167" fontId="16" fillId="7" borderId="39" xfId="0" applyNumberFormat="1" applyFont="1" applyFill="1" applyBorder="1" applyAlignment="1">
      <alignment horizontal="center" vertical="center"/>
    </xf>
    <xf numFmtId="164" fontId="17" fillId="5" borderId="44" xfId="0" applyNumberFormat="1" applyFont="1" applyFill="1" applyBorder="1" applyAlignment="1">
      <alignment vertical="center"/>
    </xf>
    <xf numFmtId="164" fontId="15" fillId="6" borderId="44" xfId="0" applyNumberFormat="1" applyFont="1" applyFill="1" applyBorder="1" applyAlignment="1">
      <alignment vertical="center"/>
    </xf>
    <xf numFmtId="164" fontId="17" fillId="7" borderId="44" xfId="0" applyNumberFormat="1" applyFont="1" applyFill="1" applyBorder="1" applyAlignment="1">
      <alignment vertical="center"/>
    </xf>
    <xf numFmtId="164" fontId="15" fillId="0" borderId="45" xfId="0" applyNumberFormat="1" applyFont="1" applyBorder="1" applyAlignment="1">
      <alignment vertical="center"/>
    </xf>
    <xf numFmtId="164" fontId="15" fillId="5" borderId="63" xfId="0" applyNumberFormat="1" applyFont="1" applyFill="1" applyBorder="1" applyAlignment="1">
      <alignment horizontal="center" vertical="center"/>
    </xf>
    <xf numFmtId="165" fontId="17" fillId="6" borderId="44" xfId="0" applyNumberFormat="1" applyFont="1" applyFill="1" applyBorder="1" applyAlignment="1">
      <alignment horizontal="center" vertical="center"/>
    </xf>
    <xf numFmtId="164" fontId="15" fillId="6" borderId="63" xfId="0" applyNumberFormat="1" applyFont="1" applyFill="1" applyBorder="1" applyAlignment="1">
      <alignment horizontal="center" vertical="center"/>
    </xf>
    <xf numFmtId="167" fontId="17" fillId="7" borderId="44" xfId="0" applyNumberFormat="1" applyFont="1" applyFill="1" applyBorder="1" applyAlignment="1">
      <alignment horizontal="center" vertical="center"/>
    </xf>
    <xf numFmtId="164" fontId="15" fillId="7" borderId="44" xfId="0" applyNumberFormat="1" applyFont="1" applyFill="1" applyBorder="1" applyAlignment="1">
      <alignment vertical="center"/>
    </xf>
    <xf numFmtId="167" fontId="17" fillId="6" borderId="44" xfId="0" applyNumberFormat="1" applyFont="1" applyFill="1" applyBorder="1" applyAlignment="1">
      <alignment horizontal="center" vertical="center"/>
    </xf>
    <xf numFmtId="167" fontId="15" fillId="7" borderId="44" xfId="0" applyNumberFormat="1" applyFont="1" applyFill="1" applyBorder="1" applyAlignment="1">
      <alignment horizontal="center" vertical="center"/>
    </xf>
    <xf numFmtId="164" fontId="17" fillId="6" borderId="63" xfId="0" applyNumberFormat="1" applyFont="1" applyFill="1" applyBorder="1" applyAlignment="1">
      <alignment horizontal="center" vertical="center"/>
    </xf>
    <xf numFmtId="164" fontId="15" fillId="5" borderId="44" xfId="0" applyNumberFormat="1" applyFont="1" applyFill="1" applyBorder="1" applyAlignment="1">
      <alignment vertical="center"/>
    </xf>
    <xf numFmtId="167" fontId="15" fillId="6" borderId="44" xfId="0" applyNumberFormat="1" applyFont="1" applyFill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164" fontId="16" fillId="0" borderId="51" xfId="0" applyNumberFormat="1" applyFont="1" applyBorder="1" applyAlignment="1">
      <alignment vertical="center"/>
    </xf>
    <xf numFmtId="164" fontId="19" fillId="0" borderId="22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167" fontId="1" fillId="0" borderId="22" xfId="0" applyNumberFormat="1" applyFont="1" applyBorder="1" applyAlignment="1">
      <alignment vertical="center"/>
    </xf>
    <xf numFmtId="167" fontId="17" fillId="5" borderId="43" xfId="0" applyNumberFormat="1" applyFont="1" applyFill="1" applyBorder="1" applyAlignment="1">
      <alignment horizontal="center" vertical="center"/>
    </xf>
    <xf numFmtId="164" fontId="17" fillId="5" borderId="63" xfId="0" applyNumberFormat="1" applyFont="1" applyFill="1" applyBorder="1" applyAlignment="1">
      <alignment horizontal="center" vertical="center"/>
    </xf>
    <xf numFmtId="164" fontId="24" fillId="5" borderId="63" xfId="0" applyNumberFormat="1" applyFont="1" applyFill="1" applyBorder="1" applyAlignment="1">
      <alignment horizontal="center" vertical="center"/>
    </xf>
    <xf numFmtId="164" fontId="11" fillId="0" borderId="86" xfId="0" applyNumberFormat="1" applyFont="1" applyBorder="1" applyAlignment="1">
      <alignment horizontal="right" vertical="center"/>
    </xf>
    <xf numFmtId="167" fontId="1" fillId="0" borderId="10" xfId="0" applyNumberFormat="1" applyFont="1" applyBorder="1" applyAlignment="1">
      <alignment vertical="center"/>
    </xf>
    <xf numFmtId="0" fontId="16" fillId="0" borderId="76" xfId="0" applyFont="1" applyBorder="1" applyAlignment="1">
      <alignment horizontal="right" vertical="center"/>
    </xf>
    <xf numFmtId="164" fontId="16" fillId="5" borderId="37" xfId="0" applyNumberFormat="1" applyFont="1" applyFill="1" applyBorder="1" applyAlignment="1">
      <alignment horizontal="center" vertical="center"/>
    </xf>
    <xf numFmtId="164" fontId="16" fillId="6" borderId="37" xfId="0" applyNumberFormat="1" applyFont="1" applyFill="1" applyBorder="1" applyAlignment="1">
      <alignment horizontal="center" vertical="center"/>
    </xf>
    <xf numFmtId="164" fontId="16" fillId="7" borderId="37" xfId="0" applyNumberFormat="1" applyFont="1" applyFill="1" applyBorder="1" applyAlignment="1">
      <alignment horizontal="center" vertical="center"/>
    </xf>
    <xf numFmtId="167" fontId="16" fillId="6" borderId="37" xfId="0" applyNumberFormat="1" applyFont="1" applyFill="1" applyBorder="1" applyAlignment="1">
      <alignment horizontal="center" vertical="center"/>
    </xf>
    <xf numFmtId="167" fontId="16" fillId="7" borderId="37" xfId="0" applyNumberFormat="1" applyFont="1" applyFill="1" applyBorder="1" applyAlignment="1">
      <alignment horizontal="center" vertical="center"/>
    </xf>
    <xf numFmtId="0" fontId="16" fillId="0" borderId="41" xfId="0" applyFont="1" applyBorder="1" applyAlignment="1">
      <alignment horizontal="right" vertical="center"/>
    </xf>
    <xf numFmtId="164" fontId="16" fillId="5" borderId="39" xfId="0" applyNumberFormat="1" applyFont="1" applyFill="1" applyBorder="1" applyAlignment="1">
      <alignment horizontal="center" vertical="center"/>
    </xf>
    <xf numFmtId="164" fontId="16" fillId="6" borderId="39" xfId="0" applyNumberFormat="1" applyFont="1" applyFill="1" applyBorder="1" applyAlignment="1">
      <alignment horizontal="center" vertical="center"/>
    </xf>
    <xf numFmtId="164" fontId="16" fillId="7" borderId="39" xfId="0" applyNumberFormat="1" applyFont="1" applyFill="1" applyBorder="1" applyAlignment="1">
      <alignment horizontal="center" vertical="center"/>
    </xf>
    <xf numFmtId="167" fontId="16" fillId="6" borderId="39" xfId="0" applyNumberFormat="1" applyFont="1" applyFill="1" applyBorder="1" applyAlignment="1">
      <alignment horizontal="center" vertical="center"/>
    </xf>
    <xf numFmtId="164" fontId="17" fillId="6" borderId="44" xfId="0" applyNumberFormat="1" applyFont="1" applyFill="1" applyBorder="1" applyAlignment="1">
      <alignment vertical="center"/>
    </xf>
    <xf numFmtId="164" fontId="23" fillId="5" borderId="25" xfId="0" applyNumberFormat="1" applyFont="1" applyFill="1" applyBorder="1" applyAlignment="1">
      <alignment horizontal="right" vertical="center"/>
    </xf>
    <xf numFmtId="164" fontId="15" fillId="6" borderId="44" xfId="0" applyNumberFormat="1" applyFont="1" applyFill="1" applyBorder="1" applyAlignment="1">
      <alignment horizontal="right" vertical="center"/>
    </xf>
    <xf numFmtId="0" fontId="19" fillId="0" borderId="1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" fillId="0" borderId="19" xfId="0" applyFont="1" applyBorder="1" applyAlignment="1">
      <alignment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right" vertical="center"/>
    </xf>
    <xf numFmtId="0" fontId="1" fillId="0" borderId="10" xfId="0" applyFont="1" applyBorder="1" applyAlignment="1">
      <alignment horizontal="center" vertical="center"/>
    </xf>
    <xf numFmtId="175" fontId="1" fillId="0" borderId="10" xfId="0" applyNumberFormat="1" applyFont="1" applyBorder="1" applyAlignment="1">
      <alignment horizontal="right" vertical="center"/>
    </xf>
    <xf numFmtId="176" fontId="1" fillId="0" borderId="10" xfId="0" applyNumberFormat="1" applyFont="1" applyBorder="1" applyAlignment="1">
      <alignment horizontal="right" vertical="center"/>
    </xf>
    <xf numFmtId="167" fontId="1" fillId="0" borderId="10" xfId="0" applyNumberFormat="1" applyFont="1" applyBorder="1" applyAlignment="1">
      <alignment horizontal="right" vertical="center"/>
    </xf>
    <xf numFmtId="0" fontId="1" fillId="0" borderId="51" xfId="0" applyFont="1" applyBorder="1" applyAlignment="1">
      <alignment horizontal="left" vertical="center" wrapText="1"/>
    </xf>
    <xf numFmtId="0" fontId="1" fillId="0" borderId="51" xfId="0" applyFont="1" applyBorder="1" applyAlignment="1">
      <alignment vertical="center"/>
    </xf>
    <xf numFmtId="0" fontId="1" fillId="0" borderId="51" xfId="0" applyFont="1" applyBorder="1" applyAlignment="1">
      <alignment horizontal="right" vertical="center"/>
    </xf>
    <xf numFmtId="0" fontId="1" fillId="0" borderId="51" xfId="0" applyFont="1" applyBorder="1" applyAlignment="1">
      <alignment horizontal="center" vertical="center"/>
    </xf>
    <xf numFmtId="175" fontId="1" fillId="0" borderId="51" xfId="0" applyNumberFormat="1" applyFont="1" applyBorder="1" applyAlignment="1">
      <alignment horizontal="right" vertical="center"/>
    </xf>
    <xf numFmtId="176" fontId="1" fillId="0" borderId="51" xfId="0" applyNumberFormat="1" applyFont="1" applyBorder="1" applyAlignment="1">
      <alignment horizontal="right" vertical="center"/>
    </xf>
    <xf numFmtId="167" fontId="1" fillId="0" borderId="51" xfId="0" applyNumberFormat="1" applyFont="1" applyBorder="1" applyAlignment="1">
      <alignment horizontal="right" vertical="center"/>
    </xf>
    <xf numFmtId="167" fontId="1" fillId="0" borderId="19" xfId="0" applyNumberFormat="1" applyFont="1" applyBorder="1" applyAlignment="1">
      <alignment horizontal="right" vertical="center"/>
    </xf>
    <xf numFmtId="0" fontId="2" fillId="3" borderId="73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27" fillId="10" borderId="78" xfId="0" applyFont="1" applyFill="1" applyBorder="1" applyAlignment="1">
      <alignment horizontal="center" vertical="center" wrapText="1"/>
    </xf>
    <xf numFmtId="0" fontId="27" fillId="10" borderId="24" xfId="0" applyFont="1" applyFill="1" applyBorder="1" applyAlignment="1">
      <alignment horizontal="center" vertical="center" wrapText="1"/>
    </xf>
    <xf numFmtId="0" fontId="27" fillId="11" borderId="79" xfId="0" applyFont="1" applyFill="1" applyBorder="1" applyAlignment="1">
      <alignment horizontal="center" vertical="center" wrapText="1"/>
    </xf>
    <xf numFmtId="0" fontId="27" fillId="11" borderId="78" xfId="0" applyFont="1" applyFill="1" applyBorder="1" applyAlignment="1">
      <alignment horizontal="center" vertical="center" wrapText="1"/>
    </xf>
    <xf numFmtId="167" fontId="1" fillId="0" borderId="80" xfId="0" applyNumberFormat="1" applyFont="1" applyBorder="1" applyAlignment="1">
      <alignment horizontal="right" vertical="center"/>
    </xf>
    <xf numFmtId="164" fontId="1" fillId="0" borderId="81" xfId="0" applyNumberFormat="1" applyFont="1" applyBorder="1" applyAlignment="1">
      <alignment vertical="center"/>
    </xf>
    <xf numFmtId="164" fontId="1" fillId="0" borderId="80" xfId="0" applyNumberFormat="1" applyFont="1" applyBorder="1" applyAlignment="1">
      <alignment vertical="center"/>
    </xf>
    <xf numFmtId="164" fontId="1" fillId="0" borderId="86" xfId="0" applyNumberFormat="1" applyFont="1" applyBorder="1" applyAlignment="1">
      <alignment vertical="center"/>
    </xf>
    <xf numFmtId="164" fontId="1" fillId="10" borderId="24" xfId="0" applyNumberFormat="1" applyFont="1" applyFill="1" applyBorder="1" applyAlignment="1">
      <alignment vertical="center"/>
    </xf>
    <xf numFmtId="0" fontId="1" fillId="3" borderId="87" xfId="0" applyFont="1" applyFill="1" applyBorder="1" applyAlignment="1">
      <alignment horizontal="center" vertical="center"/>
    </xf>
    <xf numFmtId="164" fontId="1" fillId="3" borderId="87" xfId="0" applyNumberFormat="1" applyFont="1" applyFill="1" applyBorder="1" applyAlignment="1">
      <alignment vertical="center"/>
    </xf>
    <xf numFmtId="164" fontId="1" fillId="3" borderId="44" xfId="0" applyNumberFormat="1" applyFont="1" applyFill="1" applyBorder="1" applyAlignment="1">
      <alignment vertical="center"/>
    </xf>
    <xf numFmtId="164" fontId="1" fillId="3" borderId="88" xfId="0" applyNumberFormat="1" applyFont="1" applyFill="1" applyBorder="1" applyAlignment="1">
      <alignment vertical="center"/>
    </xf>
    <xf numFmtId="164" fontId="1" fillId="3" borderId="89" xfId="0" applyNumberFormat="1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3" fillId="5" borderId="57" xfId="0" applyFont="1" applyFill="1" applyBorder="1" applyAlignment="1">
      <alignment horizontal="center" vertical="center"/>
    </xf>
    <xf numFmtId="0" fontId="13" fillId="6" borderId="88" xfId="0" applyFont="1" applyFill="1" applyBorder="1" applyAlignment="1">
      <alignment horizontal="center" vertical="center"/>
    </xf>
    <xf numFmtId="0" fontId="13" fillId="7" borderId="88" xfId="0" applyFont="1" applyFill="1" applyBorder="1" applyAlignment="1">
      <alignment horizontal="center" vertical="center"/>
    </xf>
    <xf numFmtId="164" fontId="18" fillId="7" borderId="49" xfId="0" applyNumberFormat="1" applyFont="1" applyFill="1" applyBorder="1" applyAlignment="1">
      <alignment horizontal="center" vertical="center"/>
    </xf>
    <xf numFmtId="164" fontId="16" fillId="7" borderId="22" xfId="0" applyNumberFormat="1" applyFont="1" applyFill="1" applyBorder="1" applyAlignment="1">
      <alignment horizontal="center" vertical="center"/>
    </xf>
    <xf numFmtId="164" fontId="18" fillId="6" borderId="49" xfId="0" applyNumberFormat="1" applyFont="1" applyFill="1" applyBorder="1" applyAlignment="1">
      <alignment horizontal="center" vertical="center"/>
    </xf>
    <xf numFmtId="0" fontId="13" fillId="8" borderId="22" xfId="0" applyFont="1" applyFill="1" applyBorder="1" applyAlignment="1">
      <alignment horizontal="right" vertical="center"/>
    </xf>
    <xf numFmtId="164" fontId="13" fillId="6" borderId="22" xfId="0" applyNumberFormat="1" applyFont="1" applyFill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10" fontId="15" fillId="0" borderId="28" xfId="0" applyNumberFormat="1" applyFont="1" applyBorder="1" applyAlignment="1">
      <alignment horizontal="center" vertical="center"/>
    </xf>
    <xf numFmtId="10" fontId="15" fillId="0" borderId="63" xfId="0" applyNumberFormat="1" applyFont="1" applyBorder="1" applyAlignment="1">
      <alignment horizontal="center" vertical="center"/>
    </xf>
    <xf numFmtId="10" fontId="15" fillId="0" borderId="65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0" fontId="10" fillId="4" borderId="10" xfId="0" applyNumberFormat="1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horizontal="center" vertical="center" wrapText="1"/>
    </xf>
    <xf numFmtId="14" fontId="10" fillId="0" borderId="10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0" fontId="10" fillId="4" borderId="16" xfId="0" applyNumberFormat="1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164" fontId="11" fillId="3" borderId="21" xfId="0" applyNumberFormat="1" applyFont="1" applyFill="1" applyBorder="1" applyAlignment="1">
      <alignment horizontal="center" vertical="center"/>
    </xf>
    <xf numFmtId="164" fontId="11" fillId="3" borderId="22" xfId="0" applyNumberFormat="1" applyFont="1" applyFill="1" applyBorder="1" applyAlignment="1">
      <alignment horizontal="center" vertical="center"/>
    </xf>
    <xf numFmtId="164" fontId="11" fillId="5" borderId="24" xfId="0" applyNumberFormat="1" applyFont="1" applyFill="1" applyBorder="1" applyAlignment="1">
      <alignment horizontal="center" vertical="center"/>
    </xf>
    <xf numFmtId="164" fontId="11" fillId="5" borderId="25" xfId="0" applyNumberFormat="1" applyFont="1" applyFill="1" applyBorder="1" applyAlignment="1">
      <alignment horizontal="center" vertical="center"/>
    </xf>
    <xf numFmtId="164" fontId="11" fillId="5" borderId="25" xfId="0" applyNumberFormat="1" applyFont="1" applyFill="1" applyBorder="1" applyAlignment="1">
      <alignment horizontal="right" vertical="center"/>
    </xf>
    <xf numFmtId="164" fontId="11" fillId="0" borderId="27" xfId="0" applyNumberFormat="1" applyFont="1" applyBorder="1" applyAlignment="1">
      <alignment horizontal="center" vertical="center"/>
    </xf>
    <xf numFmtId="164" fontId="11" fillId="0" borderId="27" xfId="0" applyNumberFormat="1" applyFont="1" applyBorder="1" applyAlignment="1">
      <alignment horizontal="right" vertical="center"/>
    </xf>
    <xf numFmtId="0" fontId="13" fillId="5" borderId="35" xfId="0" applyFont="1" applyFill="1" applyBorder="1" applyAlignment="1">
      <alignment horizontal="center" vertical="center"/>
    </xf>
    <xf numFmtId="0" fontId="13" fillId="6" borderId="63" xfId="0" applyFont="1" applyFill="1" applyBorder="1" applyAlignment="1">
      <alignment horizontal="center" vertical="center"/>
    </xf>
    <xf numFmtId="0" fontId="13" fillId="7" borderId="63" xfId="0" applyFont="1" applyFill="1" applyBorder="1" applyAlignment="1">
      <alignment horizontal="center" vertical="center"/>
    </xf>
    <xf numFmtId="164" fontId="11" fillId="0" borderId="81" xfId="0" applyNumberFormat="1" applyFont="1" applyBorder="1" applyAlignment="1">
      <alignment horizontal="center" vertical="center"/>
    </xf>
    <xf numFmtId="164" fontId="12" fillId="0" borderId="27" xfId="0" applyNumberFormat="1" applyFont="1" applyBorder="1" applyAlignment="1">
      <alignment horizontal="right" vertical="center"/>
    </xf>
    <xf numFmtId="164" fontId="11" fillId="0" borderId="28" xfId="0" applyNumberFormat="1" applyFont="1" applyBorder="1" applyAlignment="1">
      <alignment horizontal="center" vertical="center"/>
    </xf>
    <xf numFmtId="164" fontId="11" fillId="0" borderId="16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right" vertical="center"/>
    </xf>
    <xf numFmtId="164" fontId="10" fillId="0" borderId="16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" fillId="0" borderId="81" xfId="0" applyFont="1" applyBorder="1" applyAlignment="1">
      <alignment horizontal="left" vertical="center"/>
    </xf>
    <xf numFmtId="164" fontId="11" fillId="0" borderId="86" xfId="0" applyNumberFormat="1" applyFont="1" applyBorder="1" applyAlignment="1">
      <alignment horizontal="center" vertical="center"/>
    </xf>
    <xf numFmtId="164" fontId="11" fillId="0" borderId="68" xfId="0" applyNumberFormat="1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164" fontId="12" fillId="0" borderId="71" xfId="0" applyNumberFormat="1" applyFont="1" applyBorder="1" applyAlignment="1">
      <alignment horizontal="right" vertical="center"/>
    </xf>
    <xf numFmtId="0" fontId="0" fillId="0" borderId="0" xfId="0" applyAlignment="1"/>
    <xf numFmtId="0" fontId="5" fillId="0" borderId="3" xfId="0" applyFont="1" applyBorder="1" applyAlignment="1"/>
    <xf numFmtId="0" fontId="5" fillId="0" borderId="4" xfId="0" applyFont="1" applyBorder="1" applyAlignment="1"/>
    <xf numFmtId="0" fontId="5" fillId="0" borderId="22" xfId="0" applyFont="1" applyBorder="1" applyAlignment="1"/>
    <xf numFmtId="0" fontId="5" fillId="0" borderId="6" xfId="0" applyFont="1" applyBorder="1" applyAlignment="1"/>
    <xf numFmtId="0" fontId="5" fillId="0" borderId="10" xfId="0" applyFont="1" applyBorder="1" applyAlignment="1"/>
    <xf numFmtId="0" fontId="5" fillId="0" borderId="9" xfId="0" applyFont="1" applyBorder="1" applyAlignment="1"/>
    <xf numFmtId="0" fontId="5" fillId="0" borderId="12" xfId="0" applyFont="1" applyBorder="1" applyAlignment="1"/>
    <xf numFmtId="0" fontId="5" fillId="0" borderId="13" xfId="0" applyFont="1" applyBorder="1" applyAlignment="1"/>
    <xf numFmtId="0" fontId="5" fillId="0" borderId="60" xfId="0" applyFont="1" applyBorder="1" applyAlignment="1"/>
    <xf numFmtId="0" fontId="5" fillId="0" borderId="16" xfId="0" applyFont="1" applyBorder="1" applyAlignment="1"/>
    <xf numFmtId="0" fontId="5" fillId="0" borderId="15" xfId="0" applyFont="1" applyBorder="1" applyAlignment="1"/>
    <xf numFmtId="0" fontId="5" fillId="0" borderId="17" xfId="0" applyFont="1" applyBorder="1" applyAlignment="1"/>
    <xf numFmtId="0" fontId="5" fillId="0" borderId="51" xfId="0" applyFont="1" applyBorder="1" applyAlignment="1"/>
    <xf numFmtId="0" fontId="5" fillId="0" borderId="18" xfId="0" applyFont="1" applyBorder="1" applyAlignment="1"/>
    <xf numFmtId="0" fontId="5" fillId="0" borderId="25" xfId="0" applyFont="1" applyBorder="1" applyAlignment="1"/>
    <xf numFmtId="0" fontId="5" fillId="0" borderId="8" xfId="0" applyFont="1" applyBorder="1" applyAlignment="1"/>
    <xf numFmtId="0" fontId="5" fillId="0" borderId="27" xfId="0" applyFont="1" applyBorder="1" applyAlignment="1"/>
    <xf numFmtId="0" fontId="5" fillId="0" borderId="11" xfId="0" applyFont="1" applyBorder="1" applyAlignment="1"/>
    <xf numFmtId="0" fontId="5" fillId="0" borderId="30" xfId="0" applyFont="1" applyBorder="1" applyAlignment="1"/>
    <xf numFmtId="0" fontId="5" fillId="0" borderId="36" xfId="0" applyFont="1" applyBorder="1" applyAlignment="1"/>
    <xf numFmtId="0" fontId="5" fillId="0" borderId="64" xfId="0" applyFont="1" applyBorder="1" applyAlignment="1"/>
    <xf numFmtId="0" fontId="5" fillId="0" borderId="53" xfId="0" applyFont="1" applyBorder="1" applyAlignment="1"/>
    <xf numFmtId="0" fontId="5" fillId="0" borderId="50" xfId="0" applyFont="1" applyBorder="1" applyAlignment="1"/>
    <xf numFmtId="0" fontId="5" fillId="0" borderId="58" xfId="0" applyFont="1" applyBorder="1" applyAlignment="1"/>
    <xf numFmtId="0" fontId="5" fillId="0" borderId="59" xfId="0" applyFont="1" applyBorder="1" applyAlignment="1"/>
    <xf numFmtId="0" fontId="5" fillId="0" borderId="29" xfId="0" applyFont="1" applyBorder="1" applyAlignment="1"/>
    <xf numFmtId="0" fontId="5" fillId="0" borderId="66" xfId="0" applyFont="1" applyBorder="1" applyAlignment="1"/>
    <xf numFmtId="0" fontId="5" fillId="0" borderId="68" xfId="0" applyFont="1" applyBorder="1" applyAlignment="1"/>
    <xf numFmtId="0" fontId="5" fillId="0" borderId="67" xfId="0" applyFont="1" applyBorder="1" applyAlignment="1"/>
    <xf numFmtId="0" fontId="5" fillId="0" borderId="80" xfId="0" applyFont="1" applyBorder="1" applyAlignment="1"/>
  </cellXfs>
  <cellStyles count="1">
    <cellStyle name="Normal" xfId="0" builtinId="0"/>
  </cellStyles>
  <dxfs count="523">
    <dxf>
      <fill>
        <patternFill patternType="solid">
          <fgColor rgb="FFEDC783"/>
          <bgColor rgb="FFEDC7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19.425781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7" customWidth="1"/>
    <col min="14" max="14" width="11" customWidth="1"/>
    <col min="15" max="15" width="17.140625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ht="23.25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9" t="s">
        <v>1</v>
      </c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3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33</v>
      </c>
      <c r="P3" s="1"/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5</v>
      </c>
      <c r="E5" s="11">
        <v>44452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15">
        <f>30*6</f>
        <v>180</v>
      </c>
      <c r="F7" s="193" t="s">
        <v>12</v>
      </c>
      <c r="G7" s="16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29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6" t="e">
        <f>(I11+I15)/(G11+H11)</f>
        <v>#REF!</v>
      </c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 t="e">
        <f>I12+I15+S41</f>
        <v>#REF!</v>
      </c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78844632.209999993</v>
      </c>
      <c r="H13" s="22">
        <f>K51</f>
        <v>9552851.4700000007</v>
      </c>
      <c r="I13" s="203">
        <f>L40+N40+L51+N51</f>
        <v>21638963.77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4" t="e">
        <f>T12/G11</f>
        <v>#REF!</v>
      </c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H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>ROUND(I12-I13,2)</f>
        <v>#REF!</v>
      </c>
      <c r="J14" s="340" t="e">
        <f>J12-J13</f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U41+G15*Q39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36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76">
        <v>6520293.1200000001</v>
      </c>
      <c r="C22" s="40">
        <f t="shared" ref="C22:C38" si="4">IF(B22&lt;&gt;"",,A22)</f>
        <v>0</v>
      </c>
      <c r="D22" s="41">
        <v>1</v>
      </c>
      <c r="E22" s="231">
        <v>6520293.1200000001</v>
      </c>
      <c r="F22" s="42" t="e">
        <f>IF(E22=0,0,$G$7)</f>
        <v>#REF!</v>
      </c>
      <c r="G22" s="232" t="e">
        <f t="shared" ref="G22:G25" si="5">HLOOKUP($O$3,#REF!,63+D22,0)</f>
        <v>#REF!</v>
      </c>
      <c r="H22" s="233" t="e">
        <f t="shared" ref="H22:H27" si="6">HLOOKUP($O$3,#REF!,84+D22,0)</f>
        <v>#REF!</v>
      </c>
      <c r="I22" s="234" t="e">
        <f t="shared" si="3"/>
        <v>#REF!</v>
      </c>
      <c r="J22" s="218">
        <v>44274</v>
      </c>
      <c r="K22" s="235">
        <v>6520293.1200000001</v>
      </c>
      <c r="L22" s="236" t="s">
        <v>45</v>
      </c>
      <c r="M22" s="237" t="s">
        <v>46</v>
      </c>
      <c r="N22" s="238">
        <v>44431</v>
      </c>
      <c r="O22" s="43">
        <v>713033.35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>
        <f t="shared" ref="T22:T25" si="9">IF(H46=0,(E46*$Q$39)-I46,0)</f>
        <v>0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76">
        <v>8849602.8699999992</v>
      </c>
      <c r="C23" s="40">
        <f t="shared" si="4"/>
        <v>0</v>
      </c>
      <c r="D23" s="41">
        <v>2</v>
      </c>
      <c r="E23" s="231">
        <v>8849602.8699999992</v>
      </c>
      <c r="F23" s="42" t="e">
        <f t="shared" ref="F23:F38" si="10">IF($G$15=0&amp;E23=0,0,EOMONTH(F22,1))</f>
        <v>#REF!</v>
      </c>
      <c r="G23" s="232" t="e">
        <f t="shared" si="5"/>
        <v>#REF!</v>
      </c>
      <c r="H23" s="233" t="e">
        <f t="shared" si="6"/>
        <v>#REF!</v>
      </c>
      <c r="I23" s="234" t="e">
        <f t="shared" si="3"/>
        <v>#REF!</v>
      </c>
      <c r="J23" s="218">
        <v>44307</v>
      </c>
      <c r="K23" s="235">
        <v>8849602.8699999992</v>
      </c>
      <c r="L23" s="236" t="s">
        <v>45</v>
      </c>
      <c r="M23" s="237" t="s">
        <v>46</v>
      </c>
      <c r="N23" s="238">
        <v>44431</v>
      </c>
      <c r="O23" s="43">
        <v>849516.99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76">
        <v>11752108.67</v>
      </c>
      <c r="C24" s="40">
        <f t="shared" si="4"/>
        <v>0</v>
      </c>
      <c r="D24" s="41">
        <v>3</v>
      </c>
      <c r="E24" s="231">
        <v>11752108.67</v>
      </c>
      <c r="F24" s="42" t="e">
        <f t="shared" si="10"/>
        <v>#REF!</v>
      </c>
      <c r="G24" s="232" t="e">
        <f t="shared" si="5"/>
        <v>#REF!</v>
      </c>
      <c r="H24" s="233" t="e">
        <f t="shared" si="6"/>
        <v>#REF!</v>
      </c>
      <c r="I24" s="234" t="e">
        <f t="shared" si="3"/>
        <v>#REF!</v>
      </c>
      <c r="J24" s="218">
        <v>44361</v>
      </c>
      <c r="K24" s="235">
        <v>11752108.67</v>
      </c>
      <c r="L24" s="236" t="s">
        <v>45</v>
      </c>
      <c r="M24" s="237" t="s">
        <v>46</v>
      </c>
      <c r="N24" s="238">
        <v>44431</v>
      </c>
      <c r="O24" s="43">
        <v>2307785.4700000002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76">
        <v>6567678.6799999997</v>
      </c>
      <c r="C25" s="40">
        <f t="shared" si="4"/>
        <v>0</v>
      </c>
      <c r="D25" s="41">
        <v>4</v>
      </c>
      <c r="E25" s="231">
        <v>6567678.6799999997</v>
      </c>
      <c r="F25" s="42" t="e">
        <f t="shared" si="10"/>
        <v>#REF!</v>
      </c>
      <c r="G25" s="232" t="e">
        <f t="shared" si="5"/>
        <v>#REF!</v>
      </c>
      <c r="H25" s="233" t="e">
        <f t="shared" si="6"/>
        <v>#REF!</v>
      </c>
      <c r="I25" s="234" t="e">
        <f t="shared" si="3"/>
        <v>#REF!</v>
      </c>
      <c r="J25" s="218">
        <v>44384</v>
      </c>
      <c r="K25" s="235">
        <v>6567678.6799999997</v>
      </c>
      <c r="L25" s="236" t="s">
        <v>45</v>
      </c>
      <c r="M25" s="237" t="s">
        <v>46</v>
      </c>
      <c r="N25" s="238">
        <v>44439</v>
      </c>
      <c r="O25" s="43">
        <v>1298598.49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76">
        <v>21525368.800000001</v>
      </c>
      <c r="C26" s="40">
        <f t="shared" si="4"/>
        <v>0</v>
      </c>
      <c r="D26" s="41">
        <v>5</v>
      </c>
      <c r="E26" s="231">
        <v>21525368.800000001</v>
      </c>
      <c r="F26" s="42" t="e">
        <f t="shared" si="10"/>
        <v>#REF!</v>
      </c>
      <c r="G26" s="232">
        <v>4894394.4000000004</v>
      </c>
      <c r="H26" s="233" t="e">
        <f t="shared" si="6"/>
        <v>#REF!</v>
      </c>
      <c r="I26" s="234" t="e">
        <f t="shared" si="3"/>
        <v>#REF!</v>
      </c>
      <c r="J26" s="218">
        <v>44407</v>
      </c>
      <c r="K26" s="235">
        <v>21525368.800000001</v>
      </c>
      <c r="L26" s="236">
        <v>44439</v>
      </c>
      <c r="M26" s="237">
        <v>4894394.4000000004</v>
      </c>
      <c r="N26" s="238">
        <v>44526</v>
      </c>
      <c r="O26" s="43">
        <v>273256.14999999944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76">
        <v>5674529.0199999996</v>
      </c>
      <c r="C27" s="40">
        <f t="shared" si="4"/>
        <v>0</v>
      </c>
      <c r="D27" s="41">
        <v>6</v>
      </c>
      <c r="E27" s="231">
        <v>5674529.0199999996</v>
      </c>
      <c r="F27" s="42" t="e">
        <f t="shared" si="10"/>
        <v>#REF!</v>
      </c>
      <c r="G27" s="232" t="e">
        <f t="shared" ref="G27:G38" si="11">HLOOKUP($O$3,#REF!,63+D27,0)</f>
        <v>#REF!</v>
      </c>
      <c r="H27" s="239" t="e">
        <f t="shared" si="6"/>
        <v>#REF!</v>
      </c>
      <c r="I27" s="234" t="e">
        <f t="shared" si="3"/>
        <v>#REF!</v>
      </c>
      <c r="J27" s="218">
        <v>44453</v>
      </c>
      <c r="K27" s="235">
        <v>5674529.0199999996</v>
      </c>
      <c r="L27" s="240" t="s">
        <v>54</v>
      </c>
      <c r="M27" s="237" t="s">
        <v>54</v>
      </c>
      <c r="N27" s="241">
        <v>44526</v>
      </c>
      <c r="O27" s="43">
        <v>1382420.37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76">
        <v>6736168.9100000001</v>
      </c>
      <c r="C28" s="40">
        <f t="shared" si="4"/>
        <v>0</v>
      </c>
      <c r="D28" s="41">
        <v>7</v>
      </c>
      <c r="E28" s="231">
        <v>6736168.9100000001</v>
      </c>
      <c r="F28" s="42" t="e">
        <f t="shared" si="10"/>
        <v>#REF!</v>
      </c>
      <c r="G28" s="232" t="e">
        <f t="shared" si="11"/>
        <v>#REF!</v>
      </c>
      <c r="H28" s="239">
        <v>133697.49</v>
      </c>
      <c r="I28" s="234" t="e">
        <f t="shared" si="3"/>
        <v>#REF!</v>
      </c>
      <c r="J28" s="218">
        <v>44463</v>
      </c>
      <c r="K28" s="235">
        <v>6736168.9100000001</v>
      </c>
      <c r="L28" s="240">
        <v>44526</v>
      </c>
      <c r="M28" s="232">
        <v>2035508.66</v>
      </c>
      <c r="N28" s="241">
        <v>44551</v>
      </c>
      <c r="O28" s="43">
        <v>133697.49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ref="B29:B38" si="12">HLOOKUP($O$3,#REF!,21+A29,0)</f>
        <v>#REF!</v>
      </c>
      <c r="C29" s="40" t="e">
        <f t="shared" si="4"/>
        <v>#REF!</v>
      </c>
      <c r="D29" s="41">
        <v>8</v>
      </c>
      <c r="E29" s="231" t="e">
        <f t="shared" ref="E29:E38" si="13">HLOOKUP($O$3,#REF!,42+D29,0)</f>
        <v>#REF!</v>
      </c>
      <c r="F29" s="42" t="e">
        <f t="shared" si="10"/>
        <v>#REF!</v>
      </c>
      <c r="G29" s="232" t="e">
        <f t="shared" si="11"/>
        <v>#REF!</v>
      </c>
      <c r="H29" s="239">
        <v>385193.86</v>
      </c>
      <c r="I29" s="234" t="e">
        <f t="shared" si="3"/>
        <v>#REF!</v>
      </c>
      <c r="J29" s="218">
        <v>44490</v>
      </c>
      <c r="K29" s="235">
        <v>11218882.140000001</v>
      </c>
      <c r="L29" s="240">
        <v>44526</v>
      </c>
      <c r="M29" s="232">
        <v>3269997.88</v>
      </c>
      <c r="N29" s="241">
        <v>44551</v>
      </c>
      <c r="O29" s="43">
        <v>385193.86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12"/>
        <v>#REF!</v>
      </c>
      <c r="C30" s="40" t="e">
        <f t="shared" si="4"/>
        <v>#REF!</v>
      </c>
      <c r="D30" s="41">
        <v>9</v>
      </c>
      <c r="E30" s="231" t="e">
        <f t="shared" si="13"/>
        <v>#REF!</v>
      </c>
      <c r="F30" s="42" t="e">
        <f t="shared" si="10"/>
        <v>#REF!</v>
      </c>
      <c r="G30" s="232" t="e">
        <f t="shared" si="11"/>
        <v>#REF!</v>
      </c>
      <c r="H30" s="239" t="e">
        <f t="shared" ref="H30:H38" si="14">HLOOKUP($O$3,#REF!,84+D30,0)</f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42" t="s">
        <v>46</v>
      </c>
      <c r="N30" s="241" t="s">
        <v>45</v>
      </c>
      <c r="O30" s="43" t="s">
        <v>46</v>
      </c>
      <c r="P30" s="1"/>
      <c r="Q30" s="44" t="e">
        <f t="shared" si="7"/>
        <v>#REF!</v>
      </c>
      <c r="R30" s="1"/>
      <c r="S30" s="4" t="e">
        <f t="shared" si="8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12"/>
        <v>#REF!</v>
      </c>
      <c r="C31" s="40" t="e">
        <f t="shared" si="4"/>
        <v>#REF!</v>
      </c>
      <c r="D31" s="41">
        <v>10</v>
      </c>
      <c r="E31" s="231" t="e">
        <f t="shared" si="13"/>
        <v>#REF!</v>
      </c>
      <c r="F31" s="42" t="e">
        <f t="shared" si="10"/>
        <v>#REF!</v>
      </c>
      <c r="G31" s="232" t="e">
        <f t="shared" si="11"/>
        <v>#REF!</v>
      </c>
      <c r="H31" s="239" t="e">
        <f t="shared" si="14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42" t="s">
        <v>46</v>
      </c>
      <c r="N31" s="241" t="s">
        <v>45</v>
      </c>
      <c r="O31" s="43" t="s">
        <v>46</v>
      </c>
      <c r="P31" s="1"/>
      <c r="Q31" s="44" t="e">
        <f t="shared" si="7"/>
        <v>#REF!</v>
      </c>
      <c r="R31" s="1"/>
      <c r="S31" s="4" t="e">
        <f t="shared" si="8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12"/>
        <v>#REF!</v>
      </c>
      <c r="C32" s="40" t="e">
        <f t="shared" si="4"/>
        <v>#REF!</v>
      </c>
      <c r="D32" s="41">
        <v>11</v>
      </c>
      <c r="E32" s="231" t="e">
        <f t="shared" si="13"/>
        <v>#REF!</v>
      </c>
      <c r="F32" s="42" t="e">
        <f t="shared" si="10"/>
        <v>#REF!</v>
      </c>
      <c r="G32" s="232" t="e">
        <f t="shared" si="11"/>
        <v>#REF!</v>
      </c>
      <c r="H32" s="239" t="e">
        <f t="shared" si="14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7"/>
        <v>#REF!</v>
      </c>
      <c r="R32" s="1"/>
      <c r="S32" s="4" t="e">
        <f t="shared" si="8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12"/>
        <v>#REF!</v>
      </c>
      <c r="C33" s="40" t="e">
        <f t="shared" si="4"/>
        <v>#REF!</v>
      </c>
      <c r="D33" s="41">
        <v>12</v>
      </c>
      <c r="E33" s="243" t="e">
        <f t="shared" si="13"/>
        <v>#REF!</v>
      </c>
      <c r="F33" s="42" t="e">
        <f t="shared" si="10"/>
        <v>#REF!</v>
      </c>
      <c r="G33" s="232" t="e">
        <f t="shared" si="11"/>
        <v>#REF!</v>
      </c>
      <c r="H33" s="239" t="e">
        <f t="shared" si="14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7"/>
        <v>#REF!</v>
      </c>
      <c r="R33" s="1"/>
      <c r="S33" s="4" t="e">
        <f t="shared" si="8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12"/>
        <v>#REF!</v>
      </c>
      <c r="C34" s="40" t="e">
        <f t="shared" si="4"/>
        <v>#REF!</v>
      </c>
      <c r="D34" s="41">
        <v>13</v>
      </c>
      <c r="E34" s="243" t="e">
        <f t="shared" si="13"/>
        <v>#REF!</v>
      </c>
      <c r="F34" s="42" t="e">
        <f t="shared" si="10"/>
        <v>#REF!</v>
      </c>
      <c r="G34" s="232" t="e">
        <f t="shared" si="11"/>
        <v>#REF!</v>
      </c>
      <c r="H34" s="239" t="e">
        <f t="shared" si="14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7"/>
        <v>#REF!</v>
      </c>
      <c r="R34" s="1"/>
      <c r="S34" s="4" t="e">
        <f t="shared" si="8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12"/>
        <v>#REF!</v>
      </c>
      <c r="C35" s="40" t="e">
        <f t="shared" si="4"/>
        <v>#REF!</v>
      </c>
      <c r="D35" s="41">
        <v>14</v>
      </c>
      <c r="E35" s="243" t="e">
        <f t="shared" si="13"/>
        <v>#REF!</v>
      </c>
      <c r="F35" s="42" t="e">
        <f t="shared" si="10"/>
        <v>#REF!</v>
      </c>
      <c r="G35" s="232" t="e">
        <f t="shared" si="11"/>
        <v>#REF!</v>
      </c>
      <c r="H35" s="239" t="e">
        <f t="shared" si="14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7"/>
        <v>#REF!</v>
      </c>
      <c r="R35" s="1"/>
      <c r="S35" s="4" t="e">
        <f t="shared" si="8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12"/>
        <v>#REF!</v>
      </c>
      <c r="C36" s="40" t="e">
        <f t="shared" si="4"/>
        <v>#REF!</v>
      </c>
      <c r="D36" s="41">
        <v>15</v>
      </c>
      <c r="E36" s="243" t="e">
        <f t="shared" si="13"/>
        <v>#REF!</v>
      </c>
      <c r="F36" s="42" t="e">
        <f t="shared" si="10"/>
        <v>#REF!</v>
      </c>
      <c r="G36" s="232" t="e">
        <f t="shared" si="11"/>
        <v>#REF!</v>
      </c>
      <c r="H36" s="239" t="e">
        <f t="shared" si="14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7"/>
        <v>#REF!</v>
      </c>
      <c r="R36" s="1"/>
      <c r="S36" s="4" t="e">
        <f t="shared" si="8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12"/>
        <v>#REF!</v>
      </c>
      <c r="C37" s="40" t="e">
        <f t="shared" si="4"/>
        <v>#REF!</v>
      </c>
      <c r="D37" s="41">
        <v>16</v>
      </c>
      <c r="E37" s="231" t="e">
        <f t="shared" si="13"/>
        <v>#REF!</v>
      </c>
      <c r="F37" s="42" t="e">
        <f t="shared" si="10"/>
        <v>#REF!</v>
      </c>
      <c r="G37" s="232" t="e">
        <f t="shared" si="11"/>
        <v>#REF!</v>
      </c>
      <c r="H37" s="239" t="e">
        <f t="shared" si="14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7"/>
        <v>#REF!</v>
      </c>
      <c r="R37" s="1"/>
      <c r="S37" s="4" t="e">
        <f t="shared" si="8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12"/>
        <v>#REF!</v>
      </c>
      <c r="C38" s="40" t="e">
        <f t="shared" si="4"/>
        <v>#REF!</v>
      </c>
      <c r="D38" s="41">
        <v>17</v>
      </c>
      <c r="E38" s="243" t="e">
        <f t="shared" si="13"/>
        <v>#REF!</v>
      </c>
      <c r="F38" s="42" t="e">
        <f t="shared" si="10"/>
        <v>#REF!</v>
      </c>
      <c r="G38" s="232" t="e">
        <f t="shared" si="11"/>
        <v>#REF!</v>
      </c>
      <c r="H38" s="239" t="e">
        <f t="shared" si="14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7"/>
        <v>#REF!</v>
      </c>
      <c r="R38" s="1"/>
      <c r="S38" s="4" t="e">
        <f t="shared" si="8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MIN(C24:C38)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5">SUM(G20:G38)</f>
        <v>#REF!</v>
      </c>
      <c r="H40" s="49" t="e">
        <f t="shared" si="15"/>
        <v>#REF!</v>
      </c>
      <c r="I40" s="50" t="e">
        <f t="shared" si="15"/>
        <v>#REF!</v>
      </c>
      <c r="J40" s="51" t="s">
        <v>29</v>
      </c>
      <c r="K40" s="52">
        <f>SUM(K22:K39)</f>
        <v>78844632.209999993</v>
      </c>
      <c r="L40" s="312">
        <f>SUM(M20:M38)</f>
        <v>10199900.940000001</v>
      </c>
      <c r="M40" s="376"/>
      <c r="N40" s="310">
        <f>SUM(O20:O38)</f>
        <v>7343502.1699999999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3" t="s">
        <v>58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7">HLOOKUP($O$3,#REF!,116+D46,0)</f>
        <v>#REF!</v>
      </c>
      <c r="F46" s="68"/>
      <c r="G46" s="232" t="e">
        <f t="shared" ref="G46:G49" si="18">HLOOKUP($O$3,#REF!,121+D46,0)</f>
        <v>#REF!</v>
      </c>
      <c r="H46" s="239">
        <v>4095560.66</v>
      </c>
      <c r="I46" s="234" t="e">
        <f t="shared" ref="I46:I49" si="19">G46+H46</f>
        <v>#REF!</v>
      </c>
      <c r="J46" s="218">
        <v>44530</v>
      </c>
      <c r="K46" s="235">
        <v>9552851.4700000007</v>
      </c>
      <c r="L46" s="236" t="s">
        <v>45</v>
      </c>
      <c r="M46" s="237" t="s">
        <v>46</v>
      </c>
      <c r="N46" s="238">
        <v>44551</v>
      </c>
      <c r="O46" s="43">
        <v>4095560.66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7"/>
        <v>#REF!</v>
      </c>
      <c r="F47" s="69"/>
      <c r="G47" s="232" t="e">
        <f t="shared" si="18"/>
        <v>#REF!</v>
      </c>
      <c r="H47" s="239" t="e">
        <f t="shared" ref="H47:H49" si="20">HLOOKUP($O$3,#REF!,126+D47,0)</f>
        <v>#REF!</v>
      </c>
      <c r="I47" s="234" t="e">
        <f t="shared" si="19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7"/>
        <v>#REF!</v>
      </c>
      <c r="F48" s="69"/>
      <c r="G48" s="232" t="e">
        <f t="shared" si="18"/>
        <v>#REF!</v>
      </c>
      <c r="H48" s="239" t="e">
        <f t="shared" si="20"/>
        <v>#REF!</v>
      </c>
      <c r="I48" s="234" t="e">
        <f t="shared" si="19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7"/>
        <v>#REF!</v>
      </c>
      <c r="F49" s="69"/>
      <c r="G49" s="232" t="e">
        <f t="shared" si="18"/>
        <v>#REF!</v>
      </c>
      <c r="H49" s="239" t="e">
        <f t="shared" si="20"/>
        <v>#REF!</v>
      </c>
      <c r="I49" s="234" t="e">
        <f t="shared" si="19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1">SUM(G46:G50)</f>
        <v>#REF!</v>
      </c>
      <c r="H51" s="49" t="e">
        <f t="shared" si="21"/>
        <v>#REF!</v>
      </c>
      <c r="I51" s="50" t="e">
        <f t="shared" si="21"/>
        <v>#REF!</v>
      </c>
      <c r="J51" s="51" t="s">
        <v>29</v>
      </c>
      <c r="K51" s="52">
        <f>SUM(K46:K50)</f>
        <v>9552851.4700000007</v>
      </c>
      <c r="L51" s="312">
        <f>SUM(M46:M50)</f>
        <v>0</v>
      </c>
      <c r="M51" s="376"/>
      <c r="N51" s="310">
        <f>SUM(O46:O50)</f>
        <v>4095560.66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2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2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2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2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3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3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3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3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522" priority="1">
      <formula>IF(TODAY()&gt;=E5+355,1,0)</formula>
    </cfRule>
  </conditionalFormatting>
  <conditionalFormatting sqref="E22:E42 E45:E53 E56:E64 E67:E71">
    <cfRule type="expression" dxfId="521" priority="2">
      <formula>IF(K22:K71="DEV",1,IF(K22:K71="no pago",1,0))</formula>
    </cfRule>
  </conditionalFormatting>
  <conditionalFormatting sqref="G22:G40 G42 G44:G51 G53 G55:G64 G66:G71 M28:M29">
    <cfRule type="expression" dxfId="520" priority="3">
      <formula>IF(M22:M71="DEV",1,IF(M22:M71="no pago",1,0))</formula>
    </cfRule>
  </conditionalFormatting>
  <conditionalFormatting sqref="H22:H40 H42 H45:H51 H53 H56:H64 H67:H71">
    <cfRule type="expression" dxfId="519" priority="4">
      <formula>IF(O22:O71="DEV",1,IF(O22:O71="no pago",1,0))</formula>
    </cfRule>
  </conditionalFormatting>
  <conditionalFormatting sqref="K20:K38">
    <cfRule type="cellIs" dxfId="518" priority="5" operator="lessThan">
      <formula>E20:E28</formula>
    </cfRule>
  </conditionalFormatting>
  <conditionalFormatting sqref="K46:K49 K68:K71">
    <cfRule type="cellIs" dxfId="517" priority="6" operator="lessThan">
      <formula>E46:E49</formula>
    </cfRule>
  </conditionalFormatting>
  <conditionalFormatting sqref="K57:K60">
    <cfRule type="cellIs" dxfId="516" priority="7" operator="lessThan">
      <formula>E57:E60</formula>
    </cfRule>
  </conditionalFormatting>
  <conditionalFormatting sqref="K68:K71">
    <cfRule type="cellIs" dxfId="515" priority="8" operator="lessThan">
      <formula>E68:E71</formula>
    </cfRule>
  </conditionalFormatting>
  <conditionalFormatting sqref="J20:O39 J46:O49 J57:O60 J68:O71">
    <cfRule type="cellIs" dxfId="514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513" priority="10" operator="equal">
      <formula>"DEV"</formula>
    </cfRule>
  </conditionalFormatting>
  <conditionalFormatting sqref="K20:K38 K46:K49 K57:K60 K68:K71 K80:K82 M20:M38 M46:M49 M57:M60 M68:M71 O20:O38 O46:O49 O57:O60 O68:O71">
    <cfRule type="cellIs" dxfId="512" priority="11" operator="equal">
      <formula>"no pago"</formula>
    </cfRule>
  </conditionalFormatting>
  <conditionalFormatting sqref="N7:O8">
    <cfRule type="cellIs" dxfId="511" priority="12" operator="equal">
      <formula>"PARALIZADA"</formula>
    </cfRule>
  </conditionalFormatting>
  <conditionalFormatting sqref="N7:O8">
    <cfRule type="cellIs" dxfId="510" priority="13" operator="equal">
      <formula>"EN EJECUCIÓN"</formula>
    </cfRule>
  </conditionalFormatting>
  <conditionalFormatting sqref="N7:O8">
    <cfRule type="cellIs" dxfId="509" priority="14" operator="equal">
      <formula>"TERMINADA"</formula>
    </cfRule>
  </conditionalFormatting>
  <conditionalFormatting sqref="N7:O8">
    <cfRule type="cellIs" dxfId="508" priority="15" operator="equal">
      <formula>"COMPLETADA"</formula>
    </cfRule>
  </conditionalFormatting>
  <hyperlinks>
    <hyperlink ref="O1" location="null!A1" display="&lt; VOLVER" xr:uid="{00000000-0004-0000-0000-000000000000}"/>
    <hyperlink ref="Q1" location="null!A1" display="'BASE DATOS'!A1" xr:uid="{00000000-0004-0000-0000-000001000000}"/>
    <hyperlink ref="E3" location="PASEO ESTAC.!A1" display="PASEO DE LAS ESTACIONES" xr:uid="{00000000-0004-0000-0000-000002000000}"/>
  </hyperlinks>
  <printOptions horizontalCentered="1"/>
  <pageMargins left="0.39370078740157483" right="0.31496062992125984" top="0.19685039370078741" bottom="0.2362204724409449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69</v>
      </c>
      <c r="E5" s="114">
        <v>44060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15">
        <v>120</v>
      </c>
      <c r="F7" s="193" t="s">
        <v>12</v>
      </c>
      <c r="G7" s="16">
        <v>44032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29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12930396.48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>
        <v>3651946</v>
      </c>
      <c r="C22" s="40">
        <f t="shared" ref="C22:C38" si="4">IF(B22&lt;&gt;"",,A22)</f>
        <v>0</v>
      </c>
      <c r="D22" s="41">
        <v>1</v>
      </c>
      <c r="E22" s="231">
        <v>3651946</v>
      </c>
      <c r="F22" s="42">
        <f>IF(E22=0,0,$G$7)</f>
        <v>44032</v>
      </c>
      <c r="G22" s="232" t="e">
        <f t="shared" ref="G22:G38" si="5">HLOOKUP($O$3,#REF!,63+D22,0)</f>
        <v>#REF!</v>
      </c>
      <c r="H22" s="233" t="e">
        <f t="shared" ref="H22:H38" si="6">HLOOKUP($O$3,#REF!,84+D22,0)</f>
        <v>#REF!</v>
      </c>
      <c r="I22" s="234" t="e">
        <f t="shared" si="3"/>
        <v>#REF!</v>
      </c>
      <c r="J22" s="251">
        <v>44056</v>
      </c>
      <c r="K22" s="252">
        <v>3651946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>
        <v>9278450.4800000004</v>
      </c>
      <c r="C23" s="40">
        <f t="shared" si="4"/>
        <v>0</v>
      </c>
      <c r="D23" s="41">
        <v>2</v>
      </c>
      <c r="E23" s="243">
        <v>9278450.4800000004</v>
      </c>
      <c r="F23" s="42" t="e">
        <f t="shared" ref="F23:F38" si="10">IF($G$15=0&amp;E23=0,0,EOMONTH(F22,1))</f>
        <v>#REF!</v>
      </c>
      <c r="G23" s="232" t="e">
        <f t="shared" si="5"/>
        <v>#REF!</v>
      </c>
      <c r="H23" s="233" t="e">
        <f t="shared" si="6"/>
        <v>#REF!</v>
      </c>
      <c r="I23" s="234" t="e">
        <f t="shared" si="3"/>
        <v>#REF!</v>
      </c>
      <c r="J23" s="218">
        <v>44085</v>
      </c>
      <c r="K23" s="235">
        <v>9278450.4800000004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ref="B24:B38" si="11">HLOOKUP($O$3,#REF!,21+A24,0)</f>
        <v>#REF!</v>
      </c>
      <c r="C24" s="40" t="e">
        <f t="shared" si="4"/>
        <v>#REF!</v>
      </c>
      <c r="D24" s="41">
        <v>3</v>
      </c>
      <c r="E24" s="243" t="e">
        <f t="shared" ref="E24:E38" si="12">HLOOKUP($O$3,#REF!,42+D24,0)</f>
        <v>#REF!</v>
      </c>
      <c r="F24" s="42" t="e">
        <f t="shared" si="10"/>
        <v>#REF!</v>
      </c>
      <c r="G24" s="232" t="e">
        <f t="shared" si="5"/>
        <v>#REF!</v>
      </c>
      <c r="H24" s="233" t="e">
        <f t="shared" si="6"/>
        <v>#REF!</v>
      </c>
      <c r="I24" s="234" t="e">
        <f t="shared" si="3"/>
        <v>#REF!</v>
      </c>
      <c r="J24" s="218" t="s">
        <v>77</v>
      </c>
      <c r="K24" s="235" t="s">
        <v>77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11"/>
        <v>#REF!</v>
      </c>
      <c r="C25" s="40" t="e">
        <f t="shared" si="4"/>
        <v>#REF!</v>
      </c>
      <c r="D25" s="41">
        <v>4</v>
      </c>
      <c r="E25" s="243" t="e">
        <f t="shared" si="12"/>
        <v>#REF!</v>
      </c>
      <c r="F25" s="42" t="e">
        <f t="shared" si="10"/>
        <v>#REF!</v>
      </c>
      <c r="G25" s="232" t="e">
        <f t="shared" si="5"/>
        <v>#REF!</v>
      </c>
      <c r="H25" s="233" t="e">
        <f t="shared" si="6"/>
        <v>#REF!</v>
      </c>
      <c r="I25" s="234" t="e">
        <f t="shared" si="3"/>
        <v>#REF!</v>
      </c>
      <c r="J25" s="218" t="s">
        <v>77</v>
      </c>
      <c r="K25" s="235" t="s">
        <v>77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11"/>
        <v>#REF!</v>
      </c>
      <c r="C26" s="40" t="e">
        <f t="shared" si="4"/>
        <v>#REF!</v>
      </c>
      <c r="D26" s="41">
        <v>5</v>
      </c>
      <c r="E26" s="243" t="e">
        <f t="shared" si="12"/>
        <v>#REF!</v>
      </c>
      <c r="F26" s="42" t="e">
        <f t="shared" si="10"/>
        <v>#REF!</v>
      </c>
      <c r="G26" s="232" t="e">
        <f t="shared" si="5"/>
        <v>#REF!</v>
      </c>
      <c r="H26" s="233" t="e">
        <f t="shared" si="6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11"/>
        <v>#REF!</v>
      </c>
      <c r="C27" s="40" t="e">
        <f t="shared" si="4"/>
        <v>#REF!</v>
      </c>
      <c r="D27" s="41">
        <v>6</v>
      </c>
      <c r="E27" s="243" t="e">
        <f t="shared" si="12"/>
        <v>#REF!</v>
      </c>
      <c r="F27" s="42" t="e">
        <f t="shared" si="10"/>
        <v>#REF!</v>
      </c>
      <c r="G27" s="232" t="e">
        <f t="shared" si="5"/>
        <v>#REF!</v>
      </c>
      <c r="H27" s="239" t="e">
        <f t="shared" si="6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11"/>
        <v>#REF!</v>
      </c>
      <c r="C28" s="40" t="e">
        <f t="shared" si="4"/>
        <v>#REF!</v>
      </c>
      <c r="D28" s="41">
        <v>7</v>
      </c>
      <c r="E28" s="243" t="e">
        <f t="shared" si="12"/>
        <v>#REF!</v>
      </c>
      <c r="F28" s="42" t="e">
        <f t="shared" si="10"/>
        <v>#REF!</v>
      </c>
      <c r="G28" s="232" t="e">
        <f t="shared" si="5"/>
        <v>#REF!</v>
      </c>
      <c r="H28" s="239" t="e">
        <f t="shared" si="6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11"/>
        <v>#REF!</v>
      </c>
      <c r="C29" s="40" t="e">
        <f t="shared" si="4"/>
        <v>#REF!</v>
      </c>
      <c r="D29" s="41">
        <v>8</v>
      </c>
      <c r="E29" s="243" t="e">
        <f t="shared" si="12"/>
        <v>#REF!</v>
      </c>
      <c r="F29" s="42" t="e">
        <f t="shared" si="10"/>
        <v>#REF!</v>
      </c>
      <c r="G29" s="232" t="e">
        <f t="shared" si="5"/>
        <v>#REF!</v>
      </c>
      <c r="H29" s="239" t="e">
        <f t="shared" si="6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11"/>
        <v>#REF!</v>
      </c>
      <c r="C30" s="40" t="e">
        <f t="shared" si="4"/>
        <v>#REF!</v>
      </c>
      <c r="D30" s="41">
        <v>9</v>
      </c>
      <c r="E30" s="243" t="e">
        <f t="shared" si="12"/>
        <v>#REF!</v>
      </c>
      <c r="F30" s="42" t="e">
        <f t="shared" si="10"/>
        <v>#REF!</v>
      </c>
      <c r="G30" s="232" t="e">
        <f t="shared" si="5"/>
        <v>#REF!</v>
      </c>
      <c r="H30" s="239" t="e">
        <f t="shared" si="6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11"/>
        <v>#REF!</v>
      </c>
      <c r="C31" s="40" t="e">
        <f t="shared" si="4"/>
        <v>#REF!</v>
      </c>
      <c r="D31" s="41">
        <v>10</v>
      </c>
      <c r="E31" s="243" t="e">
        <f t="shared" si="12"/>
        <v>#REF!</v>
      </c>
      <c r="F31" s="42" t="e">
        <f t="shared" si="10"/>
        <v>#REF!</v>
      </c>
      <c r="G31" s="232" t="e">
        <f t="shared" si="5"/>
        <v>#REF!</v>
      </c>
      <c r="H31" s="239" t="e">
        <f t="shared" si="6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11"/>
        <v>#REF!</v>
      </c>
      <c r="C32" s="40" t="e">
        <f t="shared" si="4"/>
        <v>#REF!</v>
      </c>
      <c r="D32" s="41">
        <v>11</v>
      </c>
      <c r="E32" s="243" t="e">
        <f t="shared" si="12"/>
        <v>#REF!</v>
      </c>
      <c r="F32" s="42" t="e">
        <f t="shared" si="10"/>
        <v>#REF!</v>
      </c>
      <c r="G32" s="232" t="e">
        <f t="shared" si="5"/>
        <v>#REF!</v>
      </c>
      <c r="H32" s="239" t="e">
        <f t="shared" si="6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11"/>
        <v>#REF!</v>
      </c>
      <c r="C33" s="40" t="e">
        <f t="shared" si="4"/>
        <v>#REF!</v>
      </c>
      <c r="D33" s="41">
        <v>12</v>
      </c>
      <c r="E33" s="243" t="e">
        <f t="shared" si="12"/>
        <v>#REF!</v>
      </c>
      <c r="F33" s="42" t="e">
        <f t="shared" si="10"/>
        <v>#REF!</v>
      </c>
      <c r="G33" s="232" t="e">
        <f t="shared" si="5"/>
        <v>#REF!</v>
      </c>
      <c r="H33" s="239" t="e">
        <f t="shared" si="6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11"/>
        <v>#REF!</v>
      </c>
      <c r="C34" s="40" t="e">
        <f t="shared" si="4"/>
        <v>#REF!</v>
      </c>
      <c r="D34" s="41">
        <v>13</v>
      </c>
      <c r="E34" s="243" t="e">
        <f t="shared" si="12"/>
        <v>#REF!</v>
      </c>
      <c r="F34" s="42" t="e">
        <f t="shared" si="10"/>
        <v>#REF!</v>
      </c>
      <c r="G34" s="232" t="e">
        <f t="shared" si="5"/>
        <v>#REF!</v>
      </c>
      <c r="H34" s="239" t="e">
        <f t="shared" si="6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11"/>
        <v>#REF!</v>
      </c>
      <c r="C35" s="40" t="e">
        <f t="shared" si="4"/>
        <v>#REF!</v>
      </c>
      <c r="D35" s="41">
        <v>14</v>
      </c>
      <c r="E35" s="243" t="e">
        <f t="shared" si="12"/>
        <v>#REF!</v>
      </c>
      <c r="F35" s="42" t="e">
        <f t="shared" si="10"/>
        <v>#REF!</v>
      </c>
      <c r="G35" s="232" t="e">
        <f t="shared" si="5"/>
        <v>#REF!</v>
      </c>
      <c r="H35" s="239" t="e">
        <f t="shared" si="6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7"/>
        <v>#REF!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11"/>
        <v>#REF!</v>
      </c>
      <c r="C36" s="40" t="e">
        <f t="shared" si="4"/>
        <v>#REF!</v>
      </c>
      <c r="D36" s="41">
        <v>15</v>
      </c>
      <c r="E36" s="243" t="e">
        <f t="shared" si="12"/>
        <v>#REF!</v>
      </c>
      <c r="F36" s="42" t="e">
        <f t="shared" si="10"/>
        <v>#REF!</v>
      </c>
      <c r="G36" s="232" t="e">
        <f t="shared" si="5"/>
        <v>#REF!</v>
      </c>
      <c r="H36" s="239" t="e">
        <f t="shared" si="6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7"/>
        <v>#REF!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11"/>
        <v>#REF!</v>
      </c>
      <c r="C37" s="40" t="e">
        <f t="shared" si="4"/>
        <v>#REF!</v>
      </c>
      <c r="D37" s="41">
        <v>16</v>
      </c>
      <c r="E37" s="231" t="e">
        <f t="shared" si="12"/>
        <v>#REF!</v>
      </c>
      <c r="F37" s="42" t="e">
        <f t="shared" si="10"/>
        <v>#REF!</v>
      </c>
      <c r="G37" s="232" t="e">
        <f t="shared" si="5"/>
        <v>#REF!</v>
      </c>
      <c r="H37" s="239" t="e">
        <f t="shared" si="6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7"/>
        <v>#REF!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11"/>
        <v>#REF!</v>
      </c>
      <c r="C38" s="40" t="e">
        <f t="shared" si="4"/>
        <v>#REF!</v>
      </c>
      <c r="D38" s="41">
        <v>17</v>
      </c>
      <c r="E38" s="243" t="e">
        <f t="shared" si="12"/>
        <v>#REF!</v>
      </c>
      <c r="F38" s="42" t="e">
        <f t="shared" si="10"/>
        <v>#REF!</v>
      </c>
      <c r="G38" s="232" t="e">
        <f t="shared" si="5"/>
        <v>#REF!</v>
      </c>
      <c r="H38" s="239" t="e">
        <f t="shared" si="6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7"/>
        <v>#REF!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MIN(C24:C38)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12930396.48</v>
      </c>
      <c r="L40" s="312">
        <f>SUM(M20:M38)</f>
        <v>0</v>
      </c>
      <c r="M40" s="376"/>
      <c r="N40" s="310">
        <f>SUM(O20:O38)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 t="s">
        <v>77</v>
      </c>
      <c r="K46" s="235" t="s">
        <v>77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361" priority="1">
      <formula>IF(TODAY()&gt;=E5+355,1,0)</formula>
    </cfRule>
  </conditionalFormatting>
  <conditionalFormatting sqref="E22:E42 E45:E53 E56:E64 E67:E71">
    <cfRule type="expression" dxfId="360" priority="2">
      <formula>IF(K22:K71="DEV",1,IF(K22:K71="no pago",1,0))</formula>
    </cfRule>
  </conditionalFormatting>
  <conditionalFormatting sqref="G22:G40 G42 G44:G51 G53 G55:G64 G66:G71">
    <cfRule type="expression" dxfId="359" priority="3">
      <formula>IF(M22:M71="DEV",1,IF(M22:M71="no pago",1,0))</formula>
    </cfRule>
  </conditionalFormatting>
  <conditionalFormatting sqref="H22:H40 H42 H45:H51 H53 H56:H64 H67:H71">
    <cfRule type="expression" dxfId="358" priority="4">
      <formula>IF(O22:O71="DEV",1,IF(O22:O71="no pago",1,0))</formula>
    </cfRule>
  </conditionalFormatting>
  <conditionalFormatting sqref="K20:K38">
    <cfRule type="cellIs" dxfId="357" priority="5" operator="lessThan">
      <formula>E20:E28</formula>
    </cfRule>
  </conditionalFormatting>
  <conditionalFormatting sqref="K46:K49 K68:K71">
    <cfRule type="cellIs" dxfId="356" priority="6" operator="lessThan">
      <formula>E46:E49</formula>
    </cfRule>
  </conditionalFormatting>
  <conditionalFormatting sqref="K57:K60">
    <cfRule type="cellIs" dxfId="355" priority="7" operator="lessThan">
      <formula>E57:E60</formula>
    </cfRule>
  </conditionalFormatting>
  <conditionalFormatting sqref="K68:K71">
    <cfRule type="cellIs" dxfId="354" priority="8" operator="lessThan">
      <formula>E68:E71</formula>
    </cfRule>
  </conditionalFormatting>
  <conditionalFormatting sqref="J20:O39 J46:O49 J57:O60 J68:O71">
    <cfRule type="cellIs" dxfId="353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352" priority="10" operator="equal">
      <formula>"DEV"</formula>
    </cfRule>
  </conditionalFormatting>
  <conditionalFormatting sqref="K20:K38 K46:K49 K57:K60 K68:K71 K80:K82 M20:M38 M46:M49 M57:M60 M68:M71 O20:O38 O46:O49 O57:O60 O68:O71">
    <cfRule type="cellIs" dxfId="351" priority="11" operator="equal">
      <formula>"no pago"</formula>
    </cfRule>
  </conditionalFormatting>
  <conditionalFormatting sqref="N7:O8">
    <cfRule type="cellIs" dxfId="350" priority="12" operator="equal">
      <formula>"PARALIZADA"</formula>
    </cfRule>
  </conditionalFormatting>
  <conditionalFormatting sqref="N7:O8">
    <cfRule type="cellIs" dxfId="349" priority="13" operator="equal">
      <formula>"EN EJECUCIÓN"</formula>
    </cfRule>
  </conditionalFormatting>
  <conditionalFormatting sqref="N7:O8">
    <cfRule type="cellIs" dxfId="348" priority="14" operator="equal">
      <formula>"TERMINADA"</formula>
    </cfRule>
  </conditionalFormatting>
  <conditionalFormatting sqref="N7:O8">
    <cfRule type="cellIs" dxfId="347" priority="15" operator="equal">
      <formula>"COMPLETADA"</formula>
    </cfRule>
  </conditionalFormatting>
  <hyperlinks>
    <hyperlink ref="O1" location="null!A1" display="&lt; VOLVER" xr:uid="{00000000-0004-0000-0900-000000000000}"/>
    <hyperlink ref="Q3" location="null!A1" display="'BASE DATOS'!A1" xr:uid="{00000000-0004-0000-09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1000"/>
  <sheetViews>
    <sheetView workbookViewId="0"/>
  </sheetViews>
  <sheetFormatPr defaultColWidth="14.42578125" defaultRowHeight="15" customHeight="1"/>
  <cols>
    <col min="1" max="2" width="14.5703125" customWidth="1"/>
    <col min="3" max="3" width="2.7109375" customWidth="1"/>
    <col min="4" max="4" width="11.42578125" customWidth="1"/>
    <col min="5" max="5" width="3.28515625" customWidth="1"/>
    <col min="6" max="6" width="20.28515625" customWidth="1"/>
    <col min="7" max="8" width="20.5703125" customWidth="1"/>
    <col min="9" max="9" width="22" customWidth="1"/>
    <col min="10" max="10" width="21.85546875" customWidth="1"/>
    <col min="11" max="11" width="21.5703125" customWidth="1"/>
    <col min="12" max="12" width="11.85546875" customWidth="1"/>
    <col min="13" max="13" width="18" customWidth="1"/>
    <col min="14" max="14" width="11" customWidth="1"/>
    <col min="15" max="15" width="16" customWidth="1"/>
    <col min="16" max="16" width="11" customWidth="1"/>
    <col min="17" max="17" width="16" customWidth="1"/>
    <col min="18" max="18" width="2.5703125" customWidth="1"/>
    <col min="19" max="19" width="8.85546875" customWidth="1"/>
    <col min="20" max="20" width="1.42578125" customWidth="1"/>
    <col min="21" max="22" width="25.28515625" customWidth="1"/>
    <col min="23" max="23" width="15.7109375" customWidth="1"/>
    <col min="24" max="24" width="9" customWidth="1"/>
    <col min="25" max="25" width="12.140625" customWidth="1"/>
    <col min="26" max="26" width="9" customWidth="1"/>
    <col min="27" max="27" width="6.7109375" customWidth="1"/>
    <col min="28" max="28" width="8.5703125" customWidth="1"/>
    <col min="29" max="29" width="6.7109375" customWidth="1"/>
    <col min="30" max="30" width="8.5703125" customWidth="1"/>
    <col min="31" max="31" width="14.5703125" customWidth="1"/>
    <col min="32" max="32" width="11.42578125" customWidth="1"/>
  </cols>
  <sheetData>
    <row r="1" spans="1:32">
      <c r="A1" s="1"/>
      <c r="B1" s="1"/>
      <c r="C1" s="1"/>
      <c r="D1" s="2"/>
      <c r="E1" s="2"/>
      <c r="F1" s="319"/>
      <c r="G1" s="356"/>
      <c r="H1" s="3"/>
      <c r="I1" s="1"/>
      <c r="J1" s="1"/>
      <c r="K1" s="4"/>
      <c r="L1" s="1"/>
      <c r="M1" s="1"/>
      <c r="N1" s="1"/>
      <c r="O1" s="1"/>
      <c r="P1" s="1"/>
      <c r="Q1" s="5" t="s">
        <v>0</v>
      </c>
      <c r="R1" s="1"/>
      <c r="S1" s="1"/>
      <c r="T1" s="1"/>
      <c r="U1" s="4"/>
      <c r="V1" s="4"/>
      <c r="W1" s="4"/>
      <c r="X1" s="1"/>
      <c r="Y1" s="1"/>
      <c r="Z1" s="1"/>
      <c r="AA1" s="1"/>
      <c r="AB1" s="1"/>
      <c r="AC1" s="1"/>
      <c r="AD1" s="1"/>
      <c r="AE1" s="1"/>
      <c r="AF1" s="1"/>
    </row>
    <row r="2" spans="1:32" hidden="1">
      <c r="A2" s="1"/>
      <c r="B2" s="1"/>
      <c r="C2" s="1"/>
      <c r="D2" s="2"/>
      <c r="E2" s="2"/>
      <c r="F2" s="3"/>
      <c r="G2" s="3"/>
      <c r="H2" s="1"/>
      <c r="I2" s="1"/>
      <c r="J2" s="1"/>
      <c r="K2" s="4"/>
      <c r="L2" s="1"/>
      <c r="M2" s="1"/>
      <c r="N2" s="320">
        <v>1</v>
      </c>
      <c r="O2" s="356"/>
      <c r="P2" s="356"/>
      <c r="Q2" s="356"/>
      <c r="R2" s="1"/>
      <c r="S2" s="1"/>
      <c r="T2" s="1"/>
      <c r="U2" s="4"/>
      <c r="V2" s="4"/>
      <c r="W2" s="4"/>
      <c r="X2" s="1"/>
      <c r="Y2" s="1"/>
      <c r="Z2" s="1"/>
      <c r="AA2" s="1"/>
      <c r="AB2" s="1"/>
      <c r="AC2" s="1"/>
      <c r="AD2" s="1"/>
      <c r="AE2" s="1"/>
      <c r="AF2" s="1"/>
    </row>
    <row r="3" spans="1:32" ht="31.5">
      <c r="A3" s="1"/>
      <c r="B3" s="1"/>
      <c r="C3" s="1"/>
      <c r="D3" s="1"/>
      <c r="E3" s="1"/>
      <c r="F3" s="7" t="s">
        <v>2</v>
      </c>
      <c r="G3" s="349" t="e">
        <f>HLOOKUP($Q$3,#REF!,2,0)</f>
        <v>#REF!</v>
      </c>
      <c r="H3" s="357"/>
      <c r="I3" s="357"/>
      <c r="J3" s="357"/>
      <c r="K3" s="357"/>
      <c r="L3" s="357"/>
      <c r="M3" s="357"/>
      <c r="N3" s="357"/>
      <c r="O3" s="357"/>
      <c r="P3" s="358"/>
      <c r="Q3" s="8">
        <v>11</v>
      </c>
      <c r="R3" s="1"/>
      <c r="S3" s="9" t="s">
        <v>1</v>
      </c>
      <c r="T3" s="1"/>
      <c r="U3" s="4"/>
      <c r="V3" s="4"/>
      <c r="W3" s="4"/>
      <c r="X3" s="1"/>
      <c r="Y3" s="1"/>
      <c r="Z3" s="1"/>
      <c r="AA3" s="1"/>
      <c r="AB3" s="1"/>
      <c r="AC3" s="1"/>
      <c r="AD3" s="1"/>
      <c r="AE3" s="1"/>
      <c r="AF3" s="1"/>
    </row>
    <row r="4" spans="1:32" ht="23.25">
      <c r="A4" s="1"/>
      <c r="B4" s="1"/>
      <c r="C4" s="1"/>
      <c r="D4" s="1"/>
      <c r="E4" s="1"/>
      <c r="F4" s="304" t="s">
        <v>4</v>
      </c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60"/>
      <c r="R4" s="1"/>
      <c r="S4" s="1"/>
      <c r="T4" s="1"/>
      <c r="U4" s="4"/>
      <c r="V4" s="4"/>
      <c r="W4" s="4"/>
      <c r="X4" s="1"/>
      <c r="Y4" s="1"/>
      <c r="Z4" s="1"/>
      <c r="AA4" s="1"/>
      <c r="AB4" s="1"/>
      <c r="AC4" s="1"/>
      <c r="AD4" s="1"/>
      <c r="AE4" s="1"/>
      <c r="AF4" s="1"/>
    </row>
    <row r="5" spans="1:32" ht="15.75">
      <c r="A5" s="1"/>
      <c r="B5" s="1"/>
      <c r="C5" s="1"/>
      <c r="D5" s="1"/>
      <c r="E5" s="1"/>
      <c r="F5" s="85" t="s">
        <v>69</v>
      </c>
      <c r="G5" s="90" t="e">
        <f>HLOOKUP($Q$3,#REF!,3,0)</f>
        <v>#REF!</v>
      </c>
      <c r="H5" s="12" t="s">
        <v>6</v>
      </c>
      <c r="I5" s="13" t="e">
        <f>HLOOKUP($Q$3,#REF!,6,0)</f>
        <v>#REF!</v>
      </c>
      <c r="J5" s="325" t="s">
        <v>7</v>
      </c>
      <c r="K5" s="361"/>
      <c r="L5" s="322" t="e">
        <f>D40/I11</f>
        <v>#REF!</v>
      </c>
      <c r="M5" s="362"/>
      <c r="N5" s="323" t="s">
        <v>8</v>
      </c>
      <c r="O5" s="361"/>
      <c r="P5" s="324">
        <f ca="1">+TODAY()</f>
        <v>44769</v>
      </c>
      <c r="Q5" s="362"/>
      <c r="R5" s="1"/>
      <c r="S5" s="1"/>
      <c r="T5" s="4"/>
      <c r="U5" s="4"/>
      <c r="V5" s="4"/>
      <c r="W5" s="4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"/>
      <c r="B6" s="1"/>
      <c r="C6" s="1"/>
      <c r="D6" s="1"/>
      <c r="E6" s="1"/>
      <c r="F6" s="192" t="s">
        <v>9</v>
      </c>
      <c r="G6" s="14" t="e">
        <f>HLOOKUP($Q$3,#REF!,4,0)</f>
        <v>#REF!</v>
      </c>
      <c r="H6" s="192" t="s">
        <v>10</v>
      </c>
      <c r="I6" s="14" t="e">
        <f>HLOOKUP($Q$3,#REF!,5,0)</f>
        <v>#REF!</v>
      </c>
      <c r="J6" s="363"/>
      <c r="K6" s="364"/>
      <c r="L6" s="364"/>
      <c r="M6" s="365"/>
      <c r="N6" s="363"/>
      <c r="O6" s="364"/>
      <c r="P6" s="364"/>
      <c r="Q6" s="365"/>
      <c r="R6" s="1"/>
      <c r="S6" s="1"/>
      <c r="T6" s="4"/>
      <c r="U6" s="4"/>
      <c r="V6" s="4"/>
      <c r="W6" s="4"/>
      <c r="X6" s="1"/>
      <c r="Y6" s="1"/>
      <c r="Z6" s="1"/>
      <c r="AA6" s="1"/>
      <c r="AB6" s="1"/>
      <c r="AC6" s="1"/>
      <c r="AD6" s="1"/>
      <c r="AE6" s="1"/>
      <c r="AF6" s="1"/>
    </row>
    <row r="7" spans="1:32" ht="15.75">
      <c r="A7" s="1"/>
      <c r="B7" s="1"/>
      <c r="C7" s="1"/>
      <c r="D7" s="1"/>
      <c r="E7" s="1"/>
      <c r="F7" s="192" t="s">
        <v>11</v>
      </c>
      <c r="G7" s="81" t="e">
        <f>HLOOKUP($Q$3,#REF!,9,0)</f>
        <v>#REF!</v>
      </c>
      <c r="H7" s="193" t="s">
        <v>12</v>
      </c>
      <c r="I7" s="82" t="e">
        <f>HLOOKUP($Q$3,#REF!,7,0)</f>
        <v>#REF!</v>
      </c>
      <c r="J7" s="326" t="s">
        <v>13</v>
      </c>
      <c r="K7" s="366"/>
      <c r="L7" s="327" t="e">
        <f>(I13+H13+G13)/I11</f>
        <v>#REF!</v>
      </c>
      <c r="M7" s="367"/>
      <c r="N7" s="328" t="s">
        <v>14</v>
      </c>
      <c r="O7" s="366"/>
      <c r="P7" s="345" t="s">
        <v>15</v>
      </c>
      <c r="Q7" s="367"/>
      <c r="R7" s="1"/>
      <c r="S7" s="1"/>
      <c r="T7" s="4"/>
      <c r="U7" s="4"/>
      <c r="V7" s="4"/>
      <c r="W7" s="4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"/>
      <c r="B8" s="1"/>
      <c r="C8" s="1"/>
      <c r="D8" s="1"/>
      <c r="E8" s="1"/>
      <c r="F8" s="194" t="s">
        <v>16</v>
      </c>
      <c r="G8" s="195" t="e">
        <f>HLOOKUP($Q$3,#REF!,10,0)</f>
        <v>#REF!</v>
      </c>
      <c r="H8" s="196" t="s">
        <v>17</v>
      </c>
      <c r="I8" s="197" t="e">
        <f>+I7+G7+G8</f>
        <v>#REF!</v>
      </c>
      <c r="J8" s="368"/>
      <c r="K8" s="369"/>
      <c r="L8" s="369"/>
      <c r="M8" s="370"/>
      <c r="N8" s="368"/>
      <c r="O8" s="369"/>
      <c r="P8" s="369"/>
      <c r="Q8" s="370"/>
      <c r="R8" s="1"/>
      <c r="S8" s="1"/>
      <c r="T8" s="4"/>
      <c r="U8" s="4"/>
      <c r="V8" s="4"/>
      <c r="W8" s="4"/>
      <c r="X8" s="1"/>
      <c r="Y8" s="1"/>
      <c r="Z8" s="1"/>
      <c r="AA8" s="1"/>
      <c r="AB8" s="1"/>
      <c r="AC8" s="1"/>
      <c r="AD8" s="1"/>
      <c r="AE8" s="1"/>
      <c r="AF8" s="1"/>
    </row>
    <row r="9" spans="1:32" ht="23.25">
      <c r="A9" s="1"/>
      <c r="B9" s="1"/>
      <c r="C9" s="1"/>
      <c r="D9" s="1"/>
      <c r="E9" s="1"/>
      <c r="F9" s="304" t="s">
        <v>18</v>
      </c>
      <c r="G9" s="359"/>
      <c r="H9" s="359"/>
      <c r="I9" s="359"/>
      <c r="J9" s="359"/>
      <c r="K9" s="359"/>
      <c r="L9" s="359"/>
      <c r="M9" s="359"/>
      <c r="N9" s="359"/>
      <c r="O9" s="359"/>
      <c r="P9" s="359"/>
      <c r="Q9" s="360"/>
      <c r="R9" s="1"/>
      <c r="S9" s="1"/>
      <c r="T9" s="1"/>
      <c r="U9" s="4"/>
      <c r="V9" s="4"/>
      <c r="W9" s="4"/>
      <c r="X9" s="1"/>
      <c r="Y9" s="1"/>
      <c r="Z9" s="1"/>
      <c r="AA9" s="1"/>
      <c r="AB9" s="1"/>
      <c r="AC9" s="1"/>
      <c r="AD9" s="1"/>
      <c r="AE9" s="1"/>
      <c r="AF9" s="1"/>
    </row>
    <row r="10" spans="1:32" ht="19.5">
      <c r="A10" s="3"/>
      <c r="B10" s="3"/>
      <c r="C10" s="3"/>
      <c r="D10" s="3"/>
      <c r="E10" s="3"/>
      <c r="F10" s="17"/>
      <c r="G10" s="198" t="s">
        <v>19</v>
      </c>
      <c r="H10" s="190" t="s">
        <v>20</v>
      </c>
      <c r="I10" s="189" t="s">
        <v>21</v>
      </c>
      <c r="J10" s="190" t="s">
        <v>22</v>
      </c>
      <c r="K10" s="18" t="s">
        <v>23</v>
      </c>
      <c r="L10" s="330" t="s">
        <v>24</v>
      </c>
      <c r="M10" s="359"/>
      <c r="N10" s="331" t="s">
        <v>25</v>
      </c>
      <c r="O10" s="360"/>
      <c r="P10" s="331" t="s">
        <v>26</v>
      </c>
      <c r="Q10" s="360"/>
      <c r="R10" s="3"/>
      <c r="S10" s="3"/>
      <c r="T10" s="3"/>
      <c r="U10" s="4"/>
      <c r="V10" s="4"/>
      <c r="W10" s="4"/>
      <c r="X10" s="1"/>
      <c r="Y10" s="1"/>
      <c r="Z10" s="1"/>
      <c r="AA10" s="1"/>
      <c r="AB10" s="1"/>
      <c r="AC10" s="1"/>
      <c r="AD10" s="3"/>
      <c r="AE10" s="3"/>
      <c r="AF10" s="3"/>
    </row>
    <row r="11" spans="1:32" ht="19.5">
      <c r="A11" s="3"/>
      <c r="B11" s="3"/>
      <c r="C11" s="3"/>
      <c r="D11" s="3"/>
      <c r="E11" s="3"/>
      <c r="F11" s="199" t="s">
        <v>27</v>
      </c>
      <c r="G11" s="19" t="e">
        <f>HLOOKUP(Q3,#REF!,20,0)</f>
        <v>#REF!</v>
      </c>
      <c r="H11" s="191" t="e">
        <f>HLOOKUP(Q3,#REF!,19,0)</f>
        <v>#REF!</v>
      </c>
      <c r="I11" s="200" t="e">
        <f>HLOOKUP(Q3,#REF!,12,0)</f>
        <v>#REF!</v>
      </c>
      <c r="J11" s="191" t="e">
        <f>HLOOKUP(Q3,#REF!,15,0)</f>
        <v>#REF!</v>
      </c>
      <c r="K11" s="20" t="e">
        <f>HLOOKUP(Q3,#REF!,13,0)</f>
        <v>#REF!</v>
      </c>
      <c r="L11" s="332" t="e">
        <f>HLOOKUP(Q3,#REF!,16,0)</f>
        <v>#REF!</v>
      </c>
      <c r="M11" s="371"/>
      <c r="N11" s="333" t="e">
        <f>HLOOKUP(Q3,#REF!,17,0)</f>
        <v>#REF!</v>
      </c>
      <c r="O11" s="372"/>
      <c r="P11" s="334" t="e">
        <f t="shared" ref="P11:P15" si="0">SUM(G11:O11)</f>
        <v>#REF!</v>
      </c>
      <c r="Q11" s="372"/>
      <c r="R11" s="3"/>
      <c r="S11" s="3"/>
      <c r="T11" s="3"/>
      <c r="U11" s="4"/>
      <c r="V11" s="4"/>
      <c r="W11" s="4"/>
      <c r="X11" s="1"/>
      <c r="Y11" s="1"/>
      <c r="Z11" s="1"/>
      <c r="AA11" s="1"/>
      <c r="AB11" s="1"/>
      <c r="AC11" s="1"/>
      <c r="AD11" s="3"/>
      <c r="AE11" s="3"/>
      <c r="AF11" s="3"/>
    </row>
    <row r="12" spans="1:32" ht="19.5">
      <c r="A12" s="1"/>
      <c r="B12" s="1"/>
      <c r="C12" s="1"/>
      <c r="D12" s="1"/>
      <c r="E12" s="1"/>
      <c r="F12" s="201" t="s">
        <v>28</v>
      </c>
      <c r="G12" s="21" t="e">
        <f>G20</f>
        <v>#REF!</v>
      </c>
      <c r="H12" s="22" t="e">
        <f>G21</f>
        <v>#REF!</v>
      </c>
      <c r="I12" s="202" t="e">
        <f>G40</f>
        <v>#REF!</v>
      </c>
      <c r="J12" s="22" t="e">
        <f>G51</f>
        <v>#REF!</v>
      </c>
      <c r="K12" s="203" t="e">
        <f>K40+K51</f>
        <v>#REF!</v>
      </c>
      <c r="L12" s="340" t="e">
        <f>G62</f>
        <v>#REF!</v>
      </c>
      <c r="M12" s="373"/>
      <c r="N12" s="335" t="e">
        <f>G73</f>
        <v>#REF!</v>
      </c>
      <c r="O12" s="374"/>
      <c r="P12" s="336" t="e">
        <f t="shared" si="0"/>
        <v>#REF!</v>
      </c>
      <c r="Q12" s="374"/>
      <c r="R12" s="1"/>
      <c r="S12" s="1"/>
      <c r="T12" s="1"/>
      <c r="U12" s="4"/>
      <c r="V12" s="4"/>
      <c r="W12" s="4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1" customHeight="1">
      <c r="A13" s="1"/>
      <c r="B13" s="1"/>
      <c r="C13" s="1"/>
      <c r="D13" s="1"/>
      <c r="E13" s="1"/>
      <c r="F13" s="201" t="s">
        <v>29</v>
      </c>
      <c r="G13" s="21" t="e">
        <f>IF(G12&lt;&gt;M20,0,M20)</f>
        <v>#REF!</v>
      </c>
      <c r="H13" s="22" t="e">
        <f>IF(H12&lt;&gt;M21,0,M21)</f>
        <v>#REF!</v>
      </c>
      <c r="I13" s="202">
        <f>M40</f>
        <v>5954025.5500000007</v>
      </c>
      <c r="J13" s="22">
        <f>M51</f>
        <v>0</v>
      </c>
      <c r="K13" s="203">
        <f>N40+P40+N51+P51</f>
        <v>4621563.3</v>
      </c>
      <c r="L13" s="340">
        <f>M62</f>
        <v>0</v>
      </c>
      <c r="M13" s="373"/>
      <c r="N13" s="335">
        <f>M73</f>
        <v>0</v>
      </c>
      <c r="O13" s="374"/>
      <c r="P13" s="336" t="e">
        <f t="shared" si="0"/>
        <v>#REF!</v>
      </c>
      <c r="Q13" s="374"/>
      <c r="R13" s="1"/>
      <c r="T13" s="1"/>
      <c r="U13" s="4"/>
      <c r="V13" s="4"/>
      <c r="W13" s="4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9.5">
      <c r="A14" s="1"/>
      <c r="B14" s="1"/>
      <c r="C14" s="1"/>
      <c r="D14" s="1"/>
      <c r="E14" s="1"/>
      <c r="F14" s="204" t="s">
        <v>30</v>
      </c>
      <c r="G14" s="21" t="e">
        <f t="shared" ref="G14:L14" si="1">G12-G13</f>
        <v>#REF!</v>
      </c>
      <c r="H14" s="205" t="e">
        <f t="shared" si="1"/>
        <v>#REF!</v>
      </c>
      <c r="I14" s="22" t="e">
        <f t="shared" si="1"/>
        <v>#REF!</v>
      </c>
      <c r="J14" s="22" t="e">
        <f t="shared" si="1"/>
        <v>#REF!</v>
      </c>
      <c r="K14" s="22" t="e">
        <f t="shared" si="1"/>
        <v>#REF!</v>
      </c>
      <c r="L14" s="340" t="e">
        <f t="shared" si="1"/>
        <v>#REF!</v>
      </c>
      <c r="M14" s="373"/>
      <c r="N14" s="335" t="e">
        <f>N12-N13</f>
        <v>#REF!</v>
      </c>
      <c r="O14" s="374"/>
      <c r="P14" s="341" t="e">
        <f t="shared" si="0"/>
        <v>#REF!</v>
      </c>
      <c r="Q14" s="374"/>
      <c r="R14" s="1" t="s">
        <v>31</v>
      </c>
      <c r="S14" s="1" t="s">
        <v>32</v>
      </c>
      <c r="T14" s="1"/>
      <c r="U14" s="4"/>
      <c r="V14" s="4"/>
      <c r="W14" s="4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9.5">
      <c r="A15" s="1"/>
      <c r="B15" s="1"/>
      <c r="C15" s="1"/>
      <c r="D15" s="1"/>
      <c r="E15" s="1"/>
      <c r="F15" s="204" t="s">
        <v>33</v>
      </c>
      <c r="G15" s="23" t="e">
        <f t="shared" ref="G15:H15" si="2">G11-G12</f>
        <v>#REF!</v>
      </c>
      <c r="H15" s="206" t="e">
        <f t="shared" si="2"/>
        <v>#REF!</v>
      </c>
      <c r="I15" s="24" t="e">
        <f>G41</f>
        <v>#REF!</v>
      </c>
      <c r="J15" s="206" t="e">
        <f>J11-J12</f>
        <v>#REF!</v>
      </c>
      <c r="K15" s="25" t="e">
        <f>W41+(I15+J15)*S39</f>
        <v>#REF!</v>
      </c>
      <c r="L15" s="342" t="e">
        <f>L11-L12</f>
        <v>#REF!</v>
      </c>
      <c r="M15" s="366"/>
      <c r="N15" s="343" t="e">
        <f>N11-N12</f>
        <v>#REF!</v>
      </c>
      <c r="O15" s="367"/>
      <c r="P15" s="344" t="e">
        <f t="shared" si="0"/>
        <v>#REF!</v>
      </c>
      <c r="Q15" s="367"/>
      <c r="R15" s="1" t="s">
        <v>31</v>
      </c>
      <c r="S15" s="1" t="s">
        <v>34</v>
      </c>
      <c r="T15" s="1"/>
      <c r="U15" s="4"/>
      <c r="V15" s="4"/>
      <c r="W15" s="4"/>
      <c r="X15" s="1"/>
      <c r="Y15" s="1"/>
      <c r="Z15" s="1"/>
      <c r="AA15" s="1"/>
      <c r="AB15" s="1"/>
      <c r="AC15" s="1"/>
      <c r="AD15" s="1"/>
      <c r="AE15" s="1"/>
      <c r="AF15" s="1"/>
    </row>
    <row r="16" spans="1:32" ht="6" customHeight="1">
      <c r="A16" s="1"/>
      <c r="B16" s="1"/>
      <c r="C16" s="1"/>
      <c r="D16" s="1"/>
      <c r="E16" s="1"/>
      <c r="F16" s="208"/>
      <c r="G16" s="209"/>
      <c r="H16" s="209"/>
      <c r="I16" s="209"/>
      <c r="J16" s="209"/>
      <c r="K16" s="210"/>
      <c r="L16" s="209"/>
      <c r="M16" s="209"/>
      <c r="N16" s="209"/>
      <c r="O16" s="209"/>
      <c r="P16" s="209"/>
      <c r="Q16" s="27"/>
      <c r="R16" s="1"/>
      <c r="S16" s="1"/>
      <c r="T16" s="1"/>
      <c r="U16" s="4"/>
      <c r="V16" s="4"/>
      <c r="W16" s="4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3.25">
      <c r="A17" s="1"/>
      <c r="B17" s="1"/>
      <c r="C17" s="1"/>
      <c r="D17" s="1"/>
      <c r="E17" s="1"/>
      <c r="F17" s="304" t="s">
        <v>21</v>
      </c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60"/>
      <c r="R17" s="1"/>
      <c r="S17" s="1"/>
      <c r="T17" s="1"/>
      <c r="U17" s="4"/>
      <c r="V17" s="4"/>
      <c r="W17" s="4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9.5">
      <c r="A18" s="1"/>
      <c r="B18" s="1"/>
      <c r="C18" s="1"/>
      <c r="D18" s="1"/>
      <c r="E18" s="1"/>
      <c r="F18" s="305" t="s">
        <v>35</v>
      </c>
      <c r="G18" s="357"/>
      <c r="H18" s="375"/>
      <c r="I18" s="306" t="s">
        <v>60</v>
      </c>
      <c r="J18" s="357"/>
      <c r="K18" s="358"/>
      <c r="L18" s="305" t="s">
        <v>37</v>
      </c>
      <c r="M18" s="357"/>
      <c r="N18" s="357"/>
      <c r="O18" s="357"/>
      <c r="P18" s="357"/>
      <c r="Q18" s="358"/>
      <c r="R18" s="1"/>
      <c r="S18" s="1"/>
      <c r="T18" s="1"/>
      <c r="U18" s="4"/>
      <c r="V18" s="4"/>
      <c r="W18" s="4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>
      <c r="A19" s="115">
        <v>0.2</v>
      </c>
      <c r="B19" s="115">
        <v>0.3</v>
      </c>
      <c r="C19" s="1"/>
      <c r="D19" s="1"/>
      <c r="E19" s="1"/>
      <c r="F19" s="28" t="s">
        <v>38</v>
      </c>
      <c r="G19" s="211" t="s">
        <v>39</v>
      </c>
      <c r="H19" s="29" t="s">
        <v>40</v>
      </c>
      <c r="I19" s="212" t="s">
        <v>41</v>
      </c>
      <c r="J19" s="213" t="s">
        <v>42</v>
      </c>
      <c r="K19" s="30" t="s">
        <v>27</v>
      </c>
      <c r="L19" s="337" t="s">
        <v>43</v>
      </c>
      <c r="M19" s="376"/>
      <c r="N19" s="338" t="s">
        <v>41</v>
      </c>
      <c r="O19" s="377"/>
      <c r="P19" s="339" t="s">
        <v>42</v>
      </c>
      <c r="Q19" s="378"/>
      <c r="R19" s="1"/>
      <c r="S19" s="319" t="s">
        <v>44</v>
      </c>
      <c r="T19" s="356"/>
      <c r="U19" s="356"/>
      <c r="V19" s="356"/>
      <c r="W19" s="4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7.25">
      <c r="A20" s="31"/>
      <c r="B20" s="31" t="s">
        <v>111</v>
      </c>
      <c r="C20" s="31"/>
      <c r="D20" s="31"/>
      <c r="E20" s="31"/>
      <c r="F20" s="214" t="s">
        <v>19</v>
      </c>
      <c r="G20" s="215" t="e">
        <f>G11</f>
        <v>#REF!</v>
      </c>
      <c r="H20" s="32" t="s">
        <v>45</v>
      </c>
      <c r="I20" s="216">
        <v>0</v>
      </c>
      <c r="J20" s="217">
        <v>0</v>
      </c>
      <c r="K20" s="33">
        <f t="shared" ref="K20:K38" si="3">SUM(I20:J20)</f>
        <v>0</v>
      </c>
      <c r="L20" s="218">
        <v>43648</v>
      </c>
      <c r="M20" s="219">
        <v>3443272.65</v>
      </c>
      <c r="N20" s="220" t="s">
        <v>45</v>
      </c>
      <c r="O20" s="221" t="s">
        <v>46</v>
      </c>
      <c r="P20" s="222" t="s">
        <v>45</v>
      </c>
      <c r="Q20" s="34" t="s">
        <v>46</v>
      </c>
      <c r="R20" s="1"/>
      <c r="S20" s="1" t="s">
        <v>47</v>
      </c>
      <c r="T20" s="1"/>
      <c r="U20" s="4" t="s">
        <v>48</v>
      </c>
      <c r="V20" s="4" t="s">
        <v>49</v>
      </c>
      <c r="W20" s="4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31" t="s">
        <v>112</v>
      </c>
      <c r="B21" s="31" t="s">
        <v>113</v>
      </c>
      <c r="C21" s="31" t="s">
        <v>38</v>
      </c>
      <c r="D21" s="31" t="s">
        <v>50</v>
      </c>
      <c r="E21" s="31"/>
      <c r="F21" s="223" t="s">
        <v>20</v>
      </c>
      <c r="G21" s="224" t="e">
        <f>H11</f>
        <v>#REF!</v>
      </c>
      <c r="H21" s="35" t="s">
        <v>45</v>
      </c>
      <c r="I21" s="225" t="e">
        <f>HLOOKUP($Q$3,#REF!,148,0)</f>
        <v>#REF!</v>
      </c>
      <c r="J21" s="226" t="e">
        <f>HLOOKUP($Q$3,#REF!,149,0)</f>
        <v>#REF!</v>
      </c>
      <c r="K21" s="36" t="e">
        <f t="shared" si="3"/>
        <v>#REF!</v>
      </c>
      <c r="L21" s="37" t="s">
        <v>54</v>
      </c>
      <c r="M21" s="227" t="s">
        <v>54</v>
      </c>
      <c r="N21" s="228" t="s">
        <v>77</v>
      </c>
      <c r="O21" s="229" t="s">
        <v>77</v>
      </c>
      <c r="P21" s="230" t="s">
        <v>77</v>
      </c>
      <c r="Q21" s="38" t="s">
        <v>77</v>
      </c>
      <c r="R21" s="1"/>
      <c r="S21" s="1" t="s">
        <v>51</v>
      </c>
      <c r="T21" s="1"/>
      <c r="U21" s="4" t="s">
        <v>52</v>
      </c>
      <c r="V21" s="4" t="s">
        <v>52</v>
      </c>
      <c r="W21" s="4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39" t="e">
        <f t="shared" ref="A22:A30" si="4">D22*$A$19</f>
        <v>#REF!</v>
      </c>
      <c r="B22" s="39" t="e">
        <f t="shared" ref="B22:B30" si="5">D22*$B$19</f>
        <v>#REF!</v>
      </c>
      <c r="C22" s="31">
        <v>1</v>
      </c>
      <c r="D22" s="39" t="e">
        <f t="shared" ref="D22:D30" si="6">G22/0.8</f>
        <v>#REF!</v>
      </c>
      <c r="E22" s="40" t="e">
        <f t="shared" ref="E22:E38" si="7">IF(D22&lt;&gt;"",,C22)</f>
        <v>#REF!</v>
      </c>
      <c r="F22" s="41">
        <v>1</v>
      </c>
      <c r="G22" s="243" t="e">
        <f t="shared" ref="G22:G27" si="8">HLOOKUP($Q$3,#REF!,42+F22,0)</f>
        <v>#REF!</v>
      </c>
      <c r="H22" s="42" t="e">
        <f>IF(G22=0,0,$I$7)</f>
        <v>#REF!</v>
      </c>
      <c r="I22" s="232" t="e">
        <f t="shared" ref="I22:I27" si="9">HLOOKUP($Q$3,#REF!,63+F22,0)</f>
        <v>#REF!</v>
      </c>
      <c r="J22" s="233" t="e">
        <f t="shared" ref="J22:J38" si="10">HLOOKUP($Q$3,#REF!,84+F22,0)</f>
        <v>#REF!</v>
      </c>
      <c r="K22" s="234" t="e">
        <f t="shared" si="3"/>
        <v>#REF!</v>
      </c>
      <c r="L22" s="218">
        <v>43692</v>
      </c>
      <c r="M22" s="252">
        <v>1117215.47</v>
      </c>
      <c r="N22" s="236">
        <v>43816</v>
      </c>
      <c r="O22" s="237">
        <v>359065.59999999998</v>
      </c>
      <c r="P22" s="238" t="s">
        <v>77</v>
      </c>
      <c r="Q22" s="43" t="s">
        <v>77</v>
      </c>
      <c r="R22" s="1"/>
      <c r="S22" s="44" t="e">
        <f t="shared" ref="S22:S38" si="11">IF(G22=0,,K22/G22)</f>
        <v>#REF!</v>
      </c>
      <c r="T22" s="1"/>
      <c r="U22" s="4">
        <f t="shared" ref="U22:U38" si="12">IF(Q22="sin certificar",(G22*$S$39)-K22,0)</f>
        <v>0</v>
      </c>
      <c r="V22" s="4" t="e">
        <f t="shared" ref="V22:V25" si="13">IF(J46=0,(G46*$S$39)-K46,0)</f>
        <v>#REF!</v>
      </c>
      <c r="W22" s="4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39" t="e">
        <f t="shared" si="4"/>
        <v>#REF!</v>
      </c>
      <c r="B23" s="39" t="e">
        <f t="shared" si="5"/>
        <v>#REF!</v>
      </c>
      <c r="C23" s="31">
        <v>2</v>
      </c>
      <c r="D23" s="39" t="e">
        <f t="shared" si="6"/>
        <v>#REF!</v>
      </c>
      <c r="E23" s="40" t="e">
        <f t="shared" si="7"/>
        <v>#REF!</v>
      </c>
      <c r="F23" s="41">
        <v>2</v>
      </c>
      <c r="G23" s="243" t="e">
        <f t="shared" si="8"/>
        <v>#REF!</v>
      </c>
      <c r="H23" s="42" t="e">
        <f t="shared" ref="H23:H38" si="14">EOMONTH(H22,1)</f>
        <v>#REF!</v>
      </c>
      <c r="I23" s="232" t="e">
        <f t="shared" si="9"/>
        <v>#REF!</v>
      </c>
      <c r="J23" s="233" t="e">
        <f t="shared" si="10"/>
        <v>#REF!</v>
      </c>
      <c r="K23" s="234" t="e">
        <f t="shared" si="3"/>
        <v>#REF!</v>
      </c>
      <c r="L23" s="218">
        <v>43747</v>
      </c>
      <c r="M23" s="235">
        <v>613034.98</v>
      </c>
      <c r="N23" s="236">
        <v>43816</v>
      </c>
      <c r="O23" s="237">
        <v>209315.77</v>
      </c>
      <c r="P23" s="238" t="s">
        <v>77</v>
      </c>
      <c r="Q23" s="43" t="s">
        <v>77</v>
      </c>
      <c r="R23" s="1"/>
      <c r="S23" s="44" t="e">
        <f t="shared" si="11"/>
        <v>#REF!</v>
      </c>
      <c r="T23" s="1"/>
      <c r="U23" s="4">
        <f t="shared" si="12"/>
        <v>0</v>
      </c>
      <c r="V23" s="4" t="e">
        <f t="shared" si="13"/>
        <v>#REF!</v>
      </c>
      <c r="W23" s="4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39" t="e">
        <f t="shared" si="4"/>
        <v>#REF!</v>
      </c>
      <c r="B24" s="39" t="e">
        <f t="shared" si="5"/>
        <v>#REF!</v>
      </c>
      <c r="C24" s="31">
        <v>3</v>
      </c>
      <c r="D24" s="39" t="e">
        <f t="shared" si="6"/>
        <v>#REF!</v>
      </c>
      <c r="E24" s="40" t="e">
        <f t="shared" si="7"/>
        <v>#REF!</v>
      </c>
      <c r="F24" s="41">
        <v>3</v>
      </c>
      <c r="G24" s="243" t="e">
        <f t="shared" si="8"/>
        <v>#REF!</v>
      </c>
      <c r="H24" s="42" t="e">
        <f t="shared" si="14"/>
        <v>#REF!</v>
      </c>
      <c r="I24" s="232" t="e">
        <f t="shared" si="9"/>
        <v>#REF!</v>
      </c>
      <c r="J24" s="233" t="e">
        <f t="shared" si="10"/>
        <v>#REF!</v>
      </c>
      <c r="K24" s="234" t="e">
        <f t="shared" si="3"/>
        <v>#REF!</v>
      </c>
      <c r="L24" s="218">
        <v>43825</v>
      </c>
      <c r="M24" s="235">
        <v>451625.04</v>
      </c>
      <c r="N24" s="236">
        <v>43894</v>
      </c>
      <c r="O24" s="237">
        <v>197418.19</v>
      </c>
      <c r="P24" s="238" t="s">
        <v>77</v>
      </c>
      <c r="Q24" s="43" t="s">
        <v>77</v>
      </c>
      <c r="R24" s="1"/>
      <c r="S24" s="44" t="e">
        <f t="shared" si="11"/>
        <v>#REF!</v>
      </c>
      <c r="T24" s="1"/>
      <c r="U24" s="4">
        <f t="shared" si="12"/>
        <v>0</v>
      </c>
      <c r="V24" s="4" t="e">
        <f t="shared" si="13"/>
        <v>#REF!</v>
      </c>
      <c r="W24" s="4"/>
      <c r="X24" s="1"/>
      <c r="Y24" s="1" t="s">
        <v>53</v>
      </c>
      <c r="Z24" s="1"/>
      <c r="AA24" s="1"/>
      <c r="AB24" s="1"/>
      <c r="AC24" s="1"/>
      <c r="AD24" s="1"/>
      <c r="AE24" s="1"/>
      <c r="AF24" s="1"/>
    </row>
    <row r="25" spans="1:32" ht="15.75" customHeight="1">
      <c r="A25" s="39" t="e">
        <f t="shared" si="4"/>
        <v>#REF!</v>
      </c>
      <c r="B25" s="39" t="e">
        <f t="shared" si="5"/>
        <v>#REF!</v>
      </c>
      <c r="C25" s="31">
        <v>4</v>
      </c>
      <c r="D25" s="39" t="e">
        <f t="shared" si="6"/>
        <v>#REF!</v>
      </c>
      <c r="E25" s="40" t="e">
        <f t="shared" si="7"/>
        <v>#REF!</v>
      </c>
      <c r="F25" s="41">
        <v>4</v>
      </c>
      <c r="G25" s="243" t="e">
        <f t="shared" si="8"/>
        <v>#REF!</v>
      </c>
      <c r="H25" s="42" t="e">
        <f t="shared" si="14"/>
        <v>#REF!</v>
      </c>
      <c r="I25" s="232" t="e">
        <f t="shared" si="9"/>
        <v>#REF!</v>
      </c>
      <c r="J25" s="233" t="e">
        <f t="shared" si="10"/>
        <v>#REF!</v>
      </c>
      <c r="K25" s="234" t="e">
        <f t="shared" si="3"/>
        <v>#REF!</v>
      </c>
      <c r="L25" s="218" t="s">
        <v>54</v>
      </c>
      <c r="M25" s="235" t="s">
        <v>54</v>
      </c>
      <c r="N25" s="236" t="s">
        <v>54</v>
      </c>
      <c r="O25" s="237" t="s">
        <v>54</v>
      </c>
      <c r="P25" s="238" t="s">
        <v>77</v>
      </c>
      <c r="Q25" s="43" t="s">
        <v>77</v>
      </c>
      <c r="R25" s="1"/>
      <c r="S25" s="44" t="e">
        <f t="shared" si="11"/>
        <v>#REF!</v>
      </c>
      <c r="T25" s="1"/>
      <c r="U25" s="4">
        <f t="shared" si="12"/>
        <v>0</v>
      </c>
      <c r="V25" s="4" t="e">
        <f t="shared" si="13"/>
        <v>#REF!</v>
      </c>
      <c r="W25" s="4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39" t="e">
        <f t="shared" si="4"/>
        <v>#REF!</v>
      </c>
      <c r="B26" s="39" t="e">
        <f t="shared" si="5"/>
        <v>#REF!</v>
      </c>
      <c r="C26" s="31">
        <v>5</v>
      </c>
      <c r="D26" s="39" t="e">
        <f t="shared" si="6"/>
        <v>#REF!</v>
      </c>
      <c r="E26" s="40" t="e">
        <f t="shared" si="7"/>
        <v>#REF!</v>
      </c>
      <c r="F26" s="41">
        <v>5</v>
      </c>
      <c r="G26" s="243" t="e">
        <f t="shared" si="8"/>
        <v>#REF!</v>
      </c>
      <c r="H26" s="42" t="e">
        <f t="shared" si="14"/>
        <v>#REF!</v>
      </c>
      <c r="I26" s="232" t="e">
        <f t="shared" si="9"/>
        <v>#REF!</v>
      </c>
      <c r="J26" s="233" t="e">
        <f t="shared" si="10"/>
        <v>#REF!</v>
      </c>
      <c r="K26" s="234" t="e">
        <f t="shared" si="3"/>
        <v>#REF!</v>
      </c>
      <c r="L26" s="218">
        <v>43829</v>
      </c>
      <c r="M26" s="235">
        <v>1270523.22</v>
      </c>
      <c r="N26" s="236">
        <v>43908</v>
      </c>
      <c r="O26" s="237">
        <v>870949.37</v>
      </c>
      <c r="P26" s="238" t="s">
        <v>77</v>
      </c>
      <c r="Q26" s="43" t="s">
        <v>77</v>
      </c>
      <c r="R26" s="1"/>
      <c r="S26" s="44" t="e">
        <f t="shared" si="11"/>
        <v>#REF!</v>
      </c>
      <c r="T26" s="1"/>
      <c r="U26" s="4">
        <f t="shared" si="12"/>
        <v>0</v>
      </c>
      <c r="V26" s="4"/>
      <c r="W26" s="4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39" t="e">
        <f t="shared" si="4"/>
        <v>#REF!</v>
      </c>
      <c r="B27" s="39" t="e">
        <f t="shared" si="5"/>
        <v>#REF!</v>
      </c>
      <c r="C27" s="31">
        <v>6</v>
      </c>
      <c r="D27" s="39" t="e">
        <f t="shared" si="6"/>
        <v>#REF!</v>
      </c>
      <c r="E27" s="40" t="e">
        <f t="shared" si="7"/>
        <v>#REF!</v>
      </c>
      <c r="F27" s="41">
        <v>6</v>
      </c>
      <c r="G27" s="243" t="e">
        <f t="shared" si="8"/>
        <v>#REF!</v>
      </c>
      <c r="H27" s="42" t="e">
        <f t="shared" si="14"/>
        <v>#REF!</v>
      </c>
      <c r="I27" s="232" t="e">
        <f t="shared" si="9"/>
        <v>#REF!</v>
      </c>
      <c r="J27" s="239" t="e">
        <f t="shared" si="10"/>
        <v>#REF!</v>
      </c>
      <c r="K27" s="234" t="e">
        <f t="shared" si="3"/>
        <v>#REF!</v>
      </c>
      <c r="L27" s="218">
        <v>43964</v>
      </c>
      <c r="M27" s="235">
        <v>419804.08</v>
      </c>
      <c r="N27" s="240">
        <v>43853</v>
      </c>
      <c r="O27" s="237">
        <v>287614.63</v>
      </c>
      <c r="P27" s="241" t="s">
        <v>77</v>
      </c>
      <c r="Q27" s="43" t="s">
        <v>77</v>
      </c>
      <c r="R27" s="1"/>
      <c r="S27" s="44" t="e">
        <f t="shared" si="11"/>
        <v>#REF!</v>
      </c>
      <c r="T27" s="1"/>
      <c r="U27" s="4">
        <f t="shared" si="12"/>
        <v>0</v>
      </c>
      <c r="V27" s="4"/>
      <c r="W27" s="4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39">
        <f t="shared" si="4"/>
        <v>95111.1</v>
      </c>
      <c r="B28" s="39">
        <f t="shared" si="5"/>
        <v>142666.65</v>
      </c>
      <c r="C28" s="31">
        <v>7</v>
      </c>
      <c r="D28" s="39">
        <f t="shared" si="6"/>
        <v>475555.5</v>
      </c>
      <c r="E28" s="40">
        <f t="shared" si="7"/>
        <v>0</v>
      </c>
      <c r="F28" s="41">
        <v>7</v>
      </c>
      <c r="G28" s="231">
        <v>380444.4</v>
      </c>
      <c r="H28" s="42" t="e">
        <f t="shared" si="14"/>
        <v>#REF!</v>
      </c>
      <c r="I28" s="267">
        <v>287503.81</v>
      </c>
      <c r="J28" s="239" t="e">
        <f t="shared" si="10"/>
        <v>#REF!</v>
      </c>
      <c r="K28" s="234" t="e">
        <f t="shared" si="3"/>
        <v>#REF!</v>
      </c>
      <c r="L28" s="251">
        <v>44056</v>
      </c>
      <c r="M28" s="252">
        <v>380444.4</v>
      </c>
      <c r="N28" s="240">
        <v>44074</v>
      </c>
      <c r="O28" s="242">
        <v>287503.81</v>
      </c>
      <c r="P28" s="241" t="s">
        <v>77</v>
      </c>
      <c r="Q28" s="43" t="s">
        <v>77</v>
      </c>
      <c r="R28" s="1"/>
      <c r="S28" s="44" t="e">
        <f t="shared" si="11"/>
        <v>#REF!</v>
      </c>
      <c r="T28" s="1"/>
      <c r="U28" s="4">
        <f t="shared" si="12"/>
        <v>0</v>
      </c>
      <c r="V28" s="4"/>
      <c r="W28" s="4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39">
        <f t="shared" si="4"/>
        <v>83100.464999999997</v>
      </c>
      <c r="B29" s="39">
        <f t="shared" si="5"/>
        <v>124650.69749999998</v>
      </c>
      <c r="C29" s="31">
        <v>8</v>
      </c>
      <c r="D29" s="39">
        <f t="shared" si="6"/>
        <v>415502.32499999995</v>
      </c>
      <c r="E29" s="40">
        <f t="shared" si="7"/>
        <v>0</v>
      </c>
      <c r="F29" s="41">
        <v>8</v>
      </c>
      <c r="G29" s="243">
        <v>332401.86</v>
      </c>
      <c r="H29" s="42" t="e">
        <f t="shared" si="14"/>
        <v>#REF!</v>
      </c>
      <c r="I29" s="267">
        <v>251197.81</v>
      </c>
      <c r="J29" s="239" t="e">
        <f t="shared" si="10"/>
        <v>#REF!</v>
      </c>
      <c r="K29" s="234" t="e">
        <f t="shared" si="3"/>
        <v>#REF!</v>
      </c>
      <c r="L29" s="251">
        <v>44061</v>
      </c>
      <c r="M29" s="252">
        <v>332401.86</v>
      </c>
      <c r="N29" s="240">
        <v>44074</v>
      </c>
      <c r="O29" s="242">
        <v>251197.81</v>
      </c>
      <c r="P29" s="241" t="s">
        <v>77</v>
      </c>
      <c r="Q29" s="43" t="s">
        <v>77</v>
      </c>
      <c r="R29" s="1"/>
      <c r="S29" s="44" t="e">
        <f t="shared" si="11"/>
        <v>#REF!</v>
      </c>
      <c r="T29" s="1"/>
      <c r="U29" s="4">
        <f t="shared" si="12"/>
        <v>0</v>
      </c>
      <c r="V29" s="4"/>
      <c r="W29" s="4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39">
        <f t="shared" si="4"/>
        <v>262380.09250000003</v>
      </c>
      <c r="B30" s="39">
        <f t="shared" si="5"/>
        <v>393570.13875000004</v>
      </c>
      <c r="C30" s="31">
        <v>9</v>
      </c>
      <c r="D30" s="39">
        <f t="shared" si="6"/>
        <v>1311900.4625000001</v>
      </c>
      <c r="E30" s="40">
        <f t="shared" si="7"/>
        <v>0</v>
      </c>
      <c r="F30" s="41">
        <v>9</v>
      </c>
      <c r="G30" s="243">
        <v>1049520.3700000001</v>
      </c>
      <c r="H30" s="42" t="e">
        <f t="shared" si="14"/>
        <v>#REF!</v>
      </c>
      <c r="I30" s="232">
        <v>793127.99</v>
      </c>
      <c r="J30" s="239" t="e">
        <f t="shared" si="10"/>
        <v>#REF!</v>
      </c>
      <c r="K30" s="234" t="e">
        <f t="shared" si="3"/>
        <v>#REF!</v>
      </c>
      <c r="L30" s="218">
        <v>44103</v>
      </c>
      <c r="M30" s="235">
        <v>1049520.3700000001</v>
      </c>
      <c r="N30" s="240">
        <v>44111</v>
      </c>
      <c r="O30" s="242">
        <v>793127.99</v>
      </c>
      <c r="P30" s="241" t="s">
        <v>77</v>
      </c>
      <c r="Q30" s="43" t="s">
        <v>77</v>
      </c>
      <c r="R30" s="1"/>
      <c r="S30" s="44" t="e">
        <f t="shared" si="11"/>
        <v>#REF!</v>
      </c>
      <c r="T30" s="1"/>
      <c r="U30" s="4">
        <f t="shared" si="12"/>
        <v>0</v>
      </c>
      <c r="V30" s="4"/>
      <c r="W30" s="4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39"/>
      <c r="B31" s="39"/>
      <c r="C31" s="31">
        <v>10</v>
      </c>
      <c r="D31" s="39" t="e">
        <f t="shared" ref="D31:D38" si="15">HLOOKUP($Q$3,#REF!,21+C31,0)</f>
        <v>#REF!</v>
      </c>
      <c r="E31" s="40" t="e">
        <f t="shared" si="7"/>
        <v>#REF!</v>
      </c>
      <c r="F31" s="41">
        <v>10</v>
      </c>
      <c r="G31" s="243">
        <v>319456.13</v>
      </c>
      <c r="H31" s="42" t="e">
        <f t="shared" si="14"/>
        <v>#REF!</v>
      </c>
      <c r="I31" s="232">
        <v>1365370.13</v>
      </c>
      <c r="J31" s="239" t="e">
        <f t="shared" si="10"/>
        <v>#REF!</v>
      </c>
      <c r="K31" s="234" t="e">
        <f t="shared" si="3"/>
        <v>#REF!</v>
      </c>
      <c r="L31" s="218">
        <v>44237</v>
      </c>
      <c r="M31" s="235">
        <v>319456.13</v>
      </c>
      <c r="N31" s="240">
        <v>44249</v>
      </c>
      <c r="O31" s="242">
        <v>1365370.13</v>
      </c>
      <c r="P31" s="241" t="s">
        <v>77</v>
      </c>
      <c r="Q31" s="43" t="s">
        <v>77</v>
      </c>
      <c r="R31" s="1"/>
      <c r="S31" s="44" t="e">
        <f t="shared" si="11"/>
        <v>#REF!</v>
      </c>
      <c r="T31" s="1"/>
      <c r="U31" s="4">
        <f t="shared" si="12"/>
        <v>0</v>
      </c>
      <c r="V31" s="4"/>
      <c r="W31" s="4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39"/>
      <c r="B32" s="39"/>
      <c r="C32" s="31">
        <v>11</v>
      </c>
      <c r="D32" s="39" t="e">
        <f t="shared" si="15"/>
        <v>#REF!</v>
      </c>
      <c r="E32" s="40" t="e">
        <f t="shared" si="7"/>
        <v>#REF!</v>
      </c>
      <c r="F32" s="41">
        <v>11</v>
      </c>
      <c r="G32" s="243" t="e">
        <f t="shared" ref="G32:G38" si="16">HLOOKUP($Q$3,#REF!,42+F32,0)</f>
        <v>#REF!</v>
      </c>
      <c r="H32" s="42" t="e">
        <f t="shared" si="14"/>
        <v>#REF!</v>
      </c>
      <c r="I32" s="232" t="e">
        <f t="shared" ref="I32:I38" si="17">HLOOKUP($Q$3,#REF!,63+F32,0)</f>
        <v>#REF!</v>
      </c>
      <c r="J32" s="239" t="e">
        <f t="shared" si="10"/>
        <v>#REF!</v>
      </c>
      <c r="K32" s="234" t="e">
        <f t="shared" si="3"/>
        <v>#REF!</v>
      </c>
      <c r="L32" s="218" t="s">
        <v>77</v>
      </c>
      <c r="M32" s="235" t="s">
        <v>77</v>
      </c>
      <c r="N32" s="240" t="s">
        <v>77</v>
      </c>
      <c r="O32" s="237" t="s">
        <v>77</v>
      </c>
      <c r="P32" s="241" t="s">
        <v>77</v>
      </c>
      <c r="Q32" s="43" t="s">
        <v>77</v>
      </c>
      <c r="R32" s="1"/>
      <c r="S32" s="44" t="e">
        <f t="shared" si="11"/>
        <v>#REF!</v>
      </c>
      <c r="T32" s="1"/>
      <c r="U32" s="4">
        <f t="shared" si="12"/>
        <v>0</v>
      </c>
      <c r="V32" s="4"/>
      <c r="W32" s="4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39"/>
      <c r="B33" s="39"/>
      <c r="C33" s="31">
        <v>12</v>
      </c>
      <c r="D33" s="39" t="e">
        <f t="shared" si="15"/>
        <v>#REF!</v>
      </c>
      <c r="E33" s="40" t="e">
        <f t="shared" si="7"/>
        <v>#REF!</v>
      </c>
      <c r="F33" s="41">
        <v>12</v>
      </c>
      <c r="G33" s="243" t="e">
        <f t="shared" si="16"/>
        <v>#REF!</v>
      </c>
      <c r="H33" s="42" t="e">
        <f t="shared" si="14"/>
        <v>#REF!</v>
      </c>
      <c r="I33" s="232" t="e">
        <f t="shared" si="17"/>
        <v>#REF!</v>
      </c>
      <c r="J33" s="239" t="e">
        <f t="shared" si="10"/>
        <v>#REF!</v>
      </c>
      <c r="K33" s="234" t="e">
        <f t="shared" si="3"/>
        <v>#REF!</v>
      </c>
      <c r="L33" s="218" t="s">
        <v>77</v>
      </c>
      <c r="M33" s="235" t="s">
        <v>77</v>
      </c>
      <c r="N33" s="240" t="s">
        <v>77</v>
      </c>
      <c r="O33" s="237" t="s">
        <v>77</v>
      </c>
      <c r="P33" s="241" t="s">
        <v>77</v>
      </c>
      <c r="Q33" s="43" t="s">
        <v>77</v>
      </c>
      <c r="R33" s="1"/>
      <c r="S33" s="44" t="e">
        <f t="shared" si="11"/>
        <v>#REF!</v>
      </c>
      <c r="T33" s="1"/>
      <c r="U33" s="4">
        <f t="shared" si="12"/>
        <v>0</v>
      </c>
      <c r="V33" s="4"/>
      <c r="W33" s="4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39"/>
      <c r="B34" s="39"/>
      <c r="C34" s="31">
        <v>13</v>
      </c>
      <c r="D34" s="39" t="e">
        <f t="shared" si="15"/>
        <v>#REF!</v>
      </c>
      <c r="E34" s="40" t="e">
        <f t="shared" si="7"/>
        <v>#REF!</v>
      </c>
      <c r="F34" s="41">
        <v>13</v>
      </c>
      <c r="G34" s="243" t="e">
        <f t="shared" si="16"/>
        <v>#REF!</v>
      </c>
      <c r="H34" s="42" t="e">
        <f t="shared" si="14"/>
        <v>#REF!</v>
      </c>
      <c r="I34" s="232" t="e">
        <f t="shared" si="17"/>
        <v>#REF!</v>
      </c>
      <c r="J34" s="239" t="e">
        <f t="shared" si="10"/>
        <v>#REF!</v>
      </c>
      <c r="K34" s="234" t="e">
        <f t="shared" si="3"/>
        <v>#REF!</v>
      </c>
      <c r="L34" s="218" t="s">
        <v>77</v>
      </c>
      <c r="M34" s="235" t="s">
        <v>77</v>
      </c>
      <c r="N34" s="240" t="s">
        <v>77</v>
      </c>
      <c r="O34" s="237" t="s">
        <v>77</v>
      </c>
      <c r="P34" s="241" t="s">
        <v>77</v>
      </c>
      <c r="Q34" s="43" t="s">
        <v>77</v>
      </c>
      <c r="R34" s="1"/>
      <c r="S34" s="44" t="e">
        <f t="shared" si="11"/>
        <v>#REF!</v>
      </c>
      <c r="T34" s="1"/>
      <c r="U34" s="4">
        <f t="shared" si="12"/>
        <v>0</v>
      </c>
      <c r="V34" s="4"/>
      <c r="W34" s="4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39"/>
      <c r="B35" s="39"/>
      <c r="C35" s="31">
        <v>14</v>
      </c>
      <c r="D35" s="39" t="e">
        <f t="shared" si="15"/>
        <v>#REF!</v>
      </c>
      <c r="E35" s="40" t="e">
        <f t="shared" si="7"/>
        <v>#REF!</v>
      </c>
      <c r="F35" s="41">
        <v>14</v>
      </c>
      <c r="G35" s="243" t="e">
        <f t="shared" si="16"/>
        <v>#REF!</v>
      </c>
      <c r="H35" s="42" t="e">
        <f t="shared" si="14"/>
        <v>#REF!</v>
      </c>
      <c r="I35" s="232" t="e">
        <f t="shared" si="17"/>
        <v>#REF!</v>
      </c>
      <c r="J35" s="239" t="e">
        <f t="shared" si="10"/>
        <v>#REF!</v>
      </c>
      <c r="K35" s="234" t="e">
        <f t="shared" si="3"/>
        <v>#REF!</v>
      </c>
      <c r="L35" s="218" t="s">
        <v>77</v>
      </c>
      <c r="M35" s="235" t="s">
        <v>77</v>
      </c>
      <c r="N35" s="240" t="s">
        <v>77</v>
      </c>
      <c r="O35" s="237" t="s">
        <v>77</v>
      </c>
      <c r="P35" s="241" t="s">
        <v>77</v>
      </c>
      <c r="Q35" s="43" t="s">
        <v>77</v>
      </c>
      <c r="R35" s="1"/>
      <c r="S35" s="44" t="e">
        <f t="shared" si="11"/>
        <v>#REF!</v>
      </c>
      <c r="T35" s="1"/>
      <c r="U35" s="4">
        <f t="shared" si="12"/>
        <v>0</v>
      </c>
      <c r="V35" s="4"/>
      <c r="W35" s="4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39"/>
      <c r="B36" s="39"/>
      <c r="C36" s="31">
        <v>15</v>
      </c>
      <c r="D36" s="39" t="e">
        <f t="shared" si="15"/>
        <v>#REF!</v>
      </c>
      <c r="E36" s="40" t="e">
        <f t="shared" si="7"/>
        <v>#REF!</v>
      </c>
      <c r="F36" s="41">
        <v>15</v>
      </c>
      <c r="G36" s="243" t="e">
        <f t="shared" si="16"/>
        <v>#REF!</v>
      </c>
      <c r="H36" s="42" t="e">
        <f t="shared" si="14"/>
        <v>#REF!</v>
      </c>
      <c r="I36" s="232" t="e">
        <f t="shared" si="17"/>
        <v>#REF!</v>
      </c>
      <c r="J36" s="239" t="e">
        <f t="shared" si="10"/>
        <v>#REF!</v>
      </c>
      <c r="K36" s="234" t="e">
        <f t="shared" si="3"/>
        <v>#REF!</v>
      </c>
      <c r="L36" s="218" t="s">
        <v>77</v>
      </c>
      <c r="M36" s="235" t="s">
        <v>77</v>
      </c>
      <c r="N36" s="240" t="s">
        <v>77</v>
      </c>
      <c r="O36" s="237" t="s">
        <v>77</v>
      </c>
      <c r="P36" s="241" t="s">
        <v>77</v>
      </c>
      <c r="Q36" s="43" t="s">
        <v>77</v>
      </c>
      <c r="R36" s="1"/>
      <c r="S36" s="44" t="e">
        <f t="shared" si="11"/>
        <v>#REF!</v>
      </c>
      <c r="T36" s="1"/>
      <c r="U36" s="4">
        <f t="shared" si="12"/>
        <v>0</v>
      </c>
      <c r="V36" s="4"/>
      <c r="W36" s="4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39"/>
      <c r="B37" s="39"/>
      <c r="C37" s="31">
        <v>16</v>
      </c>
      <c r="D37" s="39" t="e">
        <f t="shared" si="15"/>
        <v>#REF!</v>
      </c>
      <c r="E37" s="40" t="e">
        <f t="shared" si="7"/>
        <v>#REF!</v>
      </c>
      <c r="F37" s="41">
        <v>16</v>
      </c>
      <c r="G37" s="231" t="e">
        <f t="shared" si="16"/>
        <v>#REF!</v>
      </c>
      <c r="H37" s="88" t="e">
        <f t="shared" si="14"/>
        <v>#REF!</v>
      </c>
      <c r="I37" s="232" t="e">
        <f t="shared" si="17"/>
        <v>#REF!</v>
      </c>
      <c r="J37" s="239" t="e">
        <f t="shared" si="10"/>
        <v>#REF!</v>
      </c>
      <c r="K37" s="234" t="e">
        <f t="shared" si="3"/>
        <v>#REF!</v>
      </c>
      <c r="L37" s="218" t="s">
        <v>77</v>
      </c>
      <c r="M37" s="235" t="s">
        <v>77</v>
      </c>
      <c r="N37" s="240" t="s">
        <v>77</v>
      </c>
      <c r="O37" s="237" t="s">
        <v>77</v>
      </c>
      <c r="P37" s="241" t="s">
        <v>77</v>
      </c>
      <c r="Q37" s="43" t="s">
        <v>77</v>
      </c>
      <c r="R37" s="1"/>
      <c r="S37" s="44" t="e">
        <f t="shared" si="11"/>
        <v>#REF!</v>
      </c>
      <c r="T37" s="1"/>
      <c r="U37" s="4">
        <f t="shared" si="12"/>
        <v>0</v>
      </c>
      <c r="V37" s="4"/>
      <c r="W37" s="4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39"/>
      <c r="B38" s="39"/>
      <c r="C38" s="31">
        <v>17</v>
      </c>
      <c r="D38" s="39" t="e">
        <f t="shared" si="15"/>
        <v>#REF!</v>
      </c>
      <c r="E38" s="40" t="e">
        <f t="shared" si="7"/>
        <v>#REF!</v>
      </c>
      <c r="F38" s="41">
        <v>17</v>
      </c>
      <c r="G38" s="243" t="e">
        <f t="shared" si="16"/>
        <v>#REF!</v>
      </c>
      <c r="H38" s="42" t="e">
        <f t="shared" si="14"/>
        <v>#REF!</v>
      </c>
      <c r="I38" s="232" t="e">
        <f t="shared" si="17"/>
        <v>#REF!</v>
      </c>
      <c r="J38" s="239" t="e">
        <f t="shared" si="10"/>
        <v>#REF!</v>
      </c>
      <c r="K38" s="234" t="e">
        <f t="shared" si="3"/>
        <v>#REF!</v>
      </c>
      <c r="L38" s="218" t="s">
        <v>77</v>
      </c>
      <c r="M38" s="235" t="s">
        <v>77</v>
      </c>
      <c r="N38" s="240" t="s">
        <v>77</v>
      </c>
      <c r="O38" s="237" t="s">
        <v>77</v>
      </c>
      <c r="P38" s="241" t="s">
        <v>77</v>
      </c>
      <c r="Q38" s="43" t="s">
        <v>77</v>
      </c>
      <c r="R38" s="1"/>
      <c r="S38" s="44" t="e">
        <f t="shared" si="11"/>
        <v>#REF!</v>
      </c>
      <c r="T38" s="1"/>
      <c r="U38" s="4">
        <f t="shared" si="12"/>
        <v>0</v>
      </c>
      <c r="V38" s="4"/>
      <c r="W38" s="4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>
      <c r="A39" s="1"/>
      <c r="B39" s="1"/>
      <c r="C39" s="1"/>
      <c r="D39" s="1"/>
      <c r="E39" s="40" t="e">
        <f>MIN(E22:E38)</f>
        <v>#REF!</v>
      </c>
      <c r="F39" s="41"/>
      <c r="G39" s="243"/>
      <c r="H39" s="42"/>
      <c r="I39" s="232"/>
      <c r="J39" s="239"/>
      <c r="K39" s="234"/>
      <c r="L39" s="218"/>
      <c r="M39" s="235"/>
      <c r="N39" s="244"/>
      <c r="O39" s="237"/>
      <c r="P39" s="241"/>
      <c r="Q39" s="43"/>
      <c r="R39" s="1"/>
      <c r="S39" s="44" t="e">
        <f>MAX(S22:S38)</f>
        <v>#REF!</v>
      </c>
      <c r="T39" s="1"/>
      <c r="U39" s="4"/>
      <c r="V39" s="4"/>
      <c r="W39" s="4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6.5" customHeight="1">
      <c r="A40" s="1" t="e">
        <f t="shared" ref="A40:B40" si="18">SUM(A22:A38)</f>
        <v>#REF!</v>
      </c>
      <c r="B40" s="1" t="e">
        <f t="shared" si="18"/>
        <v>#REF!</v>
      </c>
      <c r="C40" s="1"/>
      <c r="D40" s="39" t="e">
        <f>SUM(D22:D39)</f>
        <v>#REF!</v>
      </c>
      <c r="E40" s="39"/>
      <c r="F40" s="45" t="s">
        <v>55</v>
      </c>
      <c r="G40" s="46" t="e">
        <f>SUM(G22:G38)</f>
        <v>#REF!</v>
      </c>
      <c r="H40" s="47" t="s">
        <v>56</v>
      </c>
      <c r="I40" s="48" t="e">
        <f t="shared" ref="I40:K40" si="19">SUM(I20:I38)</f>
        <v>#REF!</v>
      </c>
      <c r="J40" s="49" t="e">
        <f t="shared" si="19"/>
        <v>#REF!</v>
      </c>
      <c r="K40" s="50" t="e">
        <f t="shared" si="19"/>
        <v>#REF!</v>
      </c>
      <c r="L40" s="51" t="s">
        <v>29</v>
      </c>
      <c r="M40" s="52">
        <f>SUM(M22:M39)</f>
        <v>5954025.5500000007</v>
      </c>
      <c r="N40" s="312">
        <f>SUM(O20:O38)</f>
        <v>4621563.3</v>
      </c>
      <c r="O40" s="376"/>
      <c r="P40" s="310">
        <f>SUM(Q20:Q38)</f>
        <v>0</v>
      </c>
      <c r="Q40" s="379"/>
      <c r="R40" s="1"/>
      <c r="S40" s="1"/>
      <c r="T40" s="1"/>
      <c r="U40" s="4"/>
      <c r="V40" s="4"/>
      <c r="W40" s="4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6.5" customHeight="1">
      <c r="A41" s="1" t="e">
        <f>B40-A40</f>
        <v>#REF!</v>
      </c>
      <c r="B41" s="1"/>
      <c r="C41" s="1"/>
      <c r="D41" s="39"/>
      <c r="E41" s="39"/>
      <c r="F41" s="53" t="s">
        <v>57</v>
      </c>
      <c r="G41" s="54" t="e">
        <f>I11-G20-G21-G40</f>
        <v>#REF!</v>
      </c>
      <c r="H41" s="313" t="s">
        <v>73</v>
      </c>
      <c r="I41" s="359"/>
      <c r="J41" s="359"/>
      <c r="K41" s="55">
        <f>U41</f>
        <v>0</v>
      </c>
      <c r="L41" s="53" t="s">
        <v>59</v>
      </c>
      <c r="M41" s="54" t="e">
        <f>G40-M40</f>
        <v>#REF!</v>
      </c>
      <c r="N41" s="314" t="e">
        <f>I40-N40</f>
        <v>#REF!</v>
      </c>
      <c r="O41" s="359"/>
      <c r="P41" s="311" t="e">
        <f>J40-P40</f>
        <v>#REF!</v>
      </c>
      <c r="Q41" s="360"/>
      <c r="R41" s="1"/>
      <c r="S41" s="1"/>
      <c r="T41" s="1"/>
      <c r="U41" s="4">
        <f t="shared" ref="U41:V41" si="20">SUM(U22:U40)</f>
        <v>0</v>
      </c>
      <c r="V41" s="4" t="e">
        <f t="shared" si="20"/>
        <v>#REF!</v>
      </c>
      <c r="W41" s="4" t="e">
        <f>SUM(U41:V42)</f>
        <v>#REF!</v>
      </c>
      <c r="X41" s="1"/>
      <c r="Y41" s="1"/>
      <c r="Z41" s="1"/>
      <c r="AA41" s="1"/>
      <c r="AB41" s="1"/>
      <c r="AC41" s="1"/>
      <c r="AD41" s="1"/>
      <c r="AE41" s="1"/>
      <c r="AF41" s="1"/>
    </row>
    <row r="42" spans="1:32" ht="6" customHeight="1">
      <c r="A42" s="1"/>
      <c r="B42" s="1"/>
      <c r="C42" s="1"/>
      <c r="D42" s="1"/>
      <c r="E42" s="1"/>
      <c r="F42" s="56"/>
      <c r="G42" s="4"/>
      <c r="H42" s="44"/>
      <c r="I42" s="1"/>
      <c r="J42" s="1"/>
      <c r="K42" s="4"/>
      <c r="L42" s="1"/>
      <c r="M42" s="57"/>
      <c r="N42" s="58"/>
      <c r="O42" s="4"/>
      <c r="P42" s="59"/>
      <c r="Q42" s="60"/>
      <c r="R42" s="1"/>
      <c r="S42" s="1"/>
      <c r="T42" s="1"/>
      <c r="U42" s="4"/>
      <c r="V42" s="4"/>
      <c r="W42" s="4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 t="e">
        <f>G41*0.3+A41</f>
        <v>#REF!</v>
      </c>
      <c r="B43" s="1"/>
      <c r="C43" s="1"/>
      <c r="D43" s="1"/>
      <c r="E43" s="1"/>
      <c r="F43" s="304" t="s">
        <v>22</v>
      </c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60"/>
      <c r="R43" s="1"/>
      <c r="S43" s="1"/>
      <c r="T43" s="1"/>
      <c r="U43" s="4"/>
      <c r="V43" s="4"/>
      <c r="W43" s="4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305" t="s">
        <v>35</v>
      </c>
      <c r="G44" s="357"/>
      <c r="H44" s="375"/>
      <c r="I44" s="306" t="s">
        <v>60</v>
      </c>
      <c r="J44" s="357"/>
      <c r="K44" s="358"/>
      <c r="L44" s="305" t="s">
        <v>37</v>
      </c>
      <c r="M44" s="357"/>
      <c r="N44" s="357"/>
      <c r="O44" s="357"/>
      <c r="P44" s="357"/>
      <c r="Q44" s="358"/>
      <c r="R44" s="1"/>
      <c r="S44" s="1"/>
      <c r="T44" s="1"/>
      <c r="U44" s="4"/>
      <c r="V44" s="4"/>
      <c r="W44" s="4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61" t="s">
        <v>38</v>
      </c>
      <c r="G45" s="62" t="s">
        <v>39</v>
      </c>
      <c r="H45" s="63" t="s">
        <v>40</v>
      </c>
      <c r="I45" s="64" t="s">
        <v>41</v>
      </c>
      <c r="J45" s="65" t="s">
        <v>42</v>
      </c>
      <c r="K45" s="66" t="s">
        <v>27</v>
      </c>
      <c r="L45" s="307" t="s">
        <v>43</v>
      </c>
      <c r="M45" s="380"/>
      <c r="N45" s="308" t="s">
        <v>41</v>
      </c>
      <c r="O45" s="381"/>
      <c r="P45" s="309" t="s">
        <v>42</v>
      </c>
      <c r="Q45" s="365"/>
      <c r="R45" s="1"/>
      <c r="S45" s="1"/>
      <c r="T45" s="1"/>
      <c r="U45" s="4"/>
      <c r="V45" s="4"/>
      <c r="W45" s="4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67">
        <v>1</v>
      </c>
      <c r="G46" s="243" t="e">
        <f t="shared" ref="G46:G49" si="21">HLOOKUP($Q$3,#REF!,116+F46,0)</f>
        <v>#REF!</v>
      </c>
      <c r="H46" s="68"/>
      <c r="I46" s="232" t="e">
        <f t="shared" ref="I46:I49" si="22">HLOOKUP($Q$3,#REF!,121+F46,0)</f>
        <v>#REF!</v>
      </c>
      <c r="J46" s="239" t="e">
        <f t="shared" ref="J46:J49" si="23">HLOOKUP($Q$3,#REF!,126+F46,0)</f>
        <v>#REF!</v>
      </c>
      <c r="K46" s="234" t="e">
        <f t="shared" ref="K46:K49" si="24">I46+J46</f>
        <v>#REF!</v>
      </c>
      <c r="L46" s="218" t="s">
        <v>77</v>
      </c>
      <c r="M46" s="235" t="s">
        <v>77</v>
      </c>
      <c r="N46" s="236" t="s">
        <v>77</v>
      </c>
      <c r="O46" s="237" t="s">
        <v>77</v>
      </c>
      <c r="P46" s="238" t="s">
        <v>77</v>
      </c>
      <c r="Q46" s="43" t="s">
        <v>77</v>
      </c>
      <c r="R46" s="1"/>
      <c r="S46" s="1"/>
      <c r="T46" s="1"/>
      <c r="U46" s="4"/>
      <c r="V46" s="4"/>
      <c r="W46" s="4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67">
        <v>2</v>
      </c>
      <c r="G47" s="243" t="e">
        <f t="shared" si="21"/>
        <v>#REF!</v>
      </c>
      <c r="H47" s="69"/>
      <c r="I47" s="232" t="e">
        <f t="shared" si="22"/>
        <v>#REF!</v>
      </c>
      <c r="J47" s="239" t="e">
        <f t="shared" si="23"/>
        <v>#REF!</v>
      </c>
      <c r="K47" s="234" t="e">
        <f t="shared" si="24"/>
        <v>#REF!</v>
      </c>
      <c r="L47" s="218" t="s">
        <v>77</v>
      </c>
      <c r="M47" s="235" t="s">
        <v>77</v>
      </c>
      <c r="N47" s="236" t="s">
        <v>77</v>
      </c>
      <c r="O47" s="237" t="s">
        <v>77</v>
      </c>
      <c r="P47" s="238" t="s">
        <v>77</v>
      </c>
      <c r="Q47" s="43" t="s">
        <v>77</v>
      </c>
      <c r="R47" s="1"/>
      <c r="S47" s="1"/>
      <c r="T47" s="1"/>
      <c r="U47" s="4"/>
      <c r="V47" s="4"/>
      <c r="W47" s="4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67">
        <v>3</v>
      </c>
      <c r="G48" s="243" t="e">
        <f t="shared" si="21"/>
        <v>#REF!</v>
      </c>
      <c r="H48" s="69"/>
      <c r="I48" s="232" t="e">
        <f t="shared" si="22"/>
        <v>#REF!</v>
      </c>
      <c r="J48" s="239" t="e">
        <f t="shared" si="23"/>
        <v>#REF!</v>
      </c>
      <c r="K48" s="234" t="e">
        <f t="shared" si="24"/>
        <v>#REF!</v>
      </c>
      <c r="L48" s="218" t="s">
        <v>77</v>
      </c>
      <c r="M48" s="235" t="s">
        <v>77</v>
      </c>
      <c r="N48" s="236" t="s">
        <v>77</v>
      </c>
      <c r="O48" s="237" t="s">
        <v>77</v>
      </c>
      <c r="P48" s="238" t="s">
        <v>77</v>
      </c>
      <c r="Q48" s="43" t="s">
        <v>77</v>
      </c>
      <c r="R48" s="1"/>
      <c r="S48" s="1"/>
      <c r="T48" s="1"/>
      <c r="U48" s="4"/>
      <c r="V48" s="4"/>
      <c r="W48" s="4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67">
        <v>4</v>
      </c>
      <c r="G49" s="243" t="e">
        <f t="shared" si="21"/>
        <v>#REF!</v>
      </c>
      <c r="H49" s="69"/>
      <c r="I49" s="232" t="e">
        <f t="shared" si="22"/>
        <v>#REF!</v>
      </c>
      <c r="J49" s="239" t="e">
        <f t="shared" si="23"/>
        <v>#REF!</v>
      </c>
      <c r="K49" s="234" t="e">
        <f t="shared" si="24"/>
        <v>#REF!</v>
      </c>
      <c r="L49" s="218" t="s">
        <v>77</v>
      </c>
      <c r="M49" s="235" t="s">
        <v>77</v>
      </c>
      <c r="N49" s="236" t="s">
        <v>77</v>
      </c>
      <c r="O49" s="237" t="s">
        <v>77</v>
      </c>
      <c r="P49" s="238" t="s">
        <v>77</v>
      </c>
      <c r="Q49" s="43" t="s">
        <v>77</v>
      </c>
      <c r="R49" s="1"/>
      <c r="S49" s="1"/>
      <c r="T49" s="1"/>
      <c r="U49" s="4"/>
      <c r="V49" s="4"/>
      <c r="W49" s="4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67"/>
      <c r="G50" s="243"/>
      <c r="H50" s="69"/>
      <c r="I50" s="232"/>
      <c r="J50" s="239"/>
      <c r="K50" s="70"/>
      <c r="L50" s="218"/>
      <c r="M50" s="235"/>
      <c r="N50" s="244"/>
      <c r="O50" s="237"/>
      <c r="P50" s="241"/>
      <c r="Q50" s="43"/>
      <c r="R50" s="1"/>
      <c r="S50" s="1"/>
      <c r="T50" s="1"/>
      <c r="U50" s="4"/>
      <c r="V50" s="4"/>
      <c r="W50" s="4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45" t="s">
        <v>55</v>
      </c>
      <c r="G51" s="46" t="e">
        <f>SUM(G46:G50)</f>
        <v>#REF!</v>
      </c>
      <c r="H51" s="47"/>
      <c r="I51" s="48" t="e">
        <f t="shared" ref="I51:K51" si="25">SUM(I46:I50)</f>
        <v>#REF!</v>
      </c>
      <c r="J51" s="49" t="e">
        <f t="shared" si="25"/>
        <v>#REF!</v>
      </c>
      <c r="K51" s="50" t="e">
        <f t="shared" si="25"/>
        <v>#REF!</v>
      </c>
      <c r="L51" s="51" t="s">
        <v>29</v>
      </c>
      <c r="M51" s="52">
        <f>SUM(M46:M50)</f>
        <v>0</v>
      </c>
      <c r="N51" s="312">
        <f>SUM(O46:O50)</f>
        <v>0</v>
      </c>
      <c r="O51" s="376"/>
      <c r="P51" s="310">
        <f>SUM(Q46:Q50)</f>
        <v>0</v>
      </c>
      <c r="Q51" s="379"/>
      <c r="R51" s="1"/>
      <c r="S51" s="1"/>
      <c r="T51" s="1"/>
      <c r="U51" s="4"/>
      <c r="V51" s="4"/>
      <c r="W51" s="4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53" t="s">
        <v>57</v>
      </c>
      <c r="G52" s="54" t="e">
        <f>J11-G51</f>
        <v>#REF!</v>
      </c>
      <c r="H52" s="313" t="s">
        <v>62</v>
      </c>
      <c r="I52" s="359"/>
      <c r="J52" s="359"/>
      <c r="K52" s="55" t="e">
        <f>V41</f>
        <v>#REF!</v>
      </c>
      <c r="L52" s="53" t="s">
        <v>59</v>
      </c>
      <c r="M52" s="54" t="e">
        <f>G51-M51</f>
        <v>#REF!</v>
      </c>
      <c r="N52" s="314" t="e">
        <f>I51-N51</f>
        <v>#REF!</v>
      </c>
      <c r="O52" s="359"/>
      <c r="P52" s="311" t="e">
        <f>J51-P51</f>
        <v>#REF!</v>
      </c>
      <c r="Q52" s="360"/>
      <c r="R52" s="1"/>
      <c r="S52" s="1"/>
      <c r="T52" s="1"/>
      <c r="U52" s="4"/>
      <c r="V52" s="4"/>
      <c r="W52" s="4"/>
      <c r="X52" s="1"/>
      <c r="Y52" s="1"/>
      <c r="Z52" s="1"/>
      <c r="AA52" s="1"/>
      <c r="AB52" s="1"/>
      <c r="AC52" s="1"/>
      <c r="AD52" s="1"/>
      <c r="AE52" s="1"/>
      <c r="AF52" s="1"/>
    </row>
    <row r="53" spans="1:32" ht="6" customHeight="1">
      <c r="A53" s="1"/>
      <c r="B53" s="1"/>
      <c r="C53" s="1"/>
      <c r="D53" s="1"/>
      <c r="E53" s="1"/>
      <c r="F53" s="56"/>
      <c r="G53" s="4"/>
      <c r="H53" s="44"/>
      <c r="I53" s="1"/>
      <c r="J53" s="1"/>
      <c r="K53" s="4"/>
      <c r="L53" s="1"/>
      <c r="M53" s="57"/>
      <c r="N53" s="58"/>
      <c r="O53" s="4"/>
      <c r="P53" s="59"/>
      <c r="Q53" s="60"/>
      <c r="R53" s="1"/>
      <c r="S53" s="1"/>
      <c r="T53" s="1"/>
      <c r="U53" s="4"/>
      <c r="V53" s="4"/>
      <c r="W53" s="4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304" t="s">
        <v>63</v>
      </c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60"/>
      <c r="R54" s="1"/>
      <c r="S54" s="1"/>
      <c r="T54" s="1"/>
      <c r="U54" s="4"/>
      <c r="V54" s="4"/>
      <c r="W54" s="4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305" t="s">
        <v>35</v>
      </c>
      <c r="G55" s="357"/>
      <c r="H55" s="375"/>
      <c r="I55" s="306"/>
      <c r="J55" s="357"/>
      <c r="K55" s="358"/>
      <c r="L55" s="305" t="s">
        <v>37</v>
      </c>
      <c r="M55" s="357"/>
      <c r="N55" s="357"/>
      <c r="O55" s="357"/>
      <c r="P55" s="357"/>
      <c r="Q55" s="358"/>
      <c r="R55" s="1"/>
      <c r="S55" s="1"/>
      <c r="T55" s="1"/>
      <c r="U55" s="4"/>
      <c r="V55" s="4"/>
      <c r="W55" s="4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61" t="s">
        <v>38</v>
      </c>
      <c r="G56" s="62" t="s">
        <v>39</v>
      </c>
      <c r="H56" s="63" t="s">
        <v>40</v>
      </c>
      <c r="I56" s="64"/>
      <c r="J56" s="65"/>
      <c r="K56" s="66"/>
      <c r="L56" s="307" t="s">
        <v>43</v>
      </c>
      <c r="M56" s="380"/>
      <c r="N56" s="308"/>
      <c r="O56" s="381"/>
      <c r="P56" s="309"/>
      <c r="Q56" s="365"/>
      <c r="R56" s="1"/>
      <c r="S56" s="1"/>
      <c r="T56" s="1"/>
      <c r="U56" s="4"/>
      <c r="V56" s="4"/>
      <c r="W56" s="4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"/>
      <c r="D57" s="1"/>
      <c r="E57" s="1"/>
      <c r="F57" s="67">
        <v>1</v>
      </c>
      <c r="G57" s="243" t="e">
        <f t="shared" ref="G57:G60" si="26">HLOOKUP($Q$3,#REF!,131+F57,0)</f>
        <v>#REF!</v>
      </c>
      <c r="H57" s="69"/>
      <c r="I57" s="232"/>
      <c r="J57" s="239"/>
      <c r="K57" s="234"/>
      <c r="L57" s="218" t="s">
        <v>77</v>
      </c>
      <c r="M57" s="235" t="s">
        <v>77</v>
      </c>
      <c r="N57" s="236"/>
      <c r="O57" s="237"/>
      <c r="P57" s="238"/>
      <c r="Q57" s="43"/>
      <c r="R57" s="1"/>
      <c r="S57" s="1"/>
      <c r="T57" s="1"/>
      <c r="U57" s="4"/>
      <c r="V57" s="4"/>
      <c r="W57" s="4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39"/>
      <c r="E58" s="1"/>
      <c r="F58" s="67">
        <v>2</v>
      </c>
      <c r="G58" s="243" t="e">
        <f t="shared" si="26"/>
        <v>#REF!</v>
      </c>
      <c r="H58" s="69"/>
      <c r="I58" s="232"/>
      <c r="J58" s="239"/>
      <c r="K58" s="234"/>
      <c r="L58" s="218" t="s">
        <v>77</v>
      </c>
      <c r="M58" s="235" t="s">
        <v>77</v>
      </c>
      <c r="N58" s="236"/>
      <c r="O58" s="237"/>
      <c r="P58" s="238"/>
      <c r="Q58" s="43"/>
      <c r="R58" s="1"/>
      <c r="S58" s="1"/>
      <c r="T58" s="1"/>
      <c r="U58" s="4"/>
      <c r="V58" s="4"/>
      <c r="W58" s="4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39"/>
      <c r="E59" s="1"/>
      <c r="F59" s="67">
        <v>3</v>
      </c>
      <c r="G59" s="243" t="e">
        <f t="shared" si="26"/>
        <v>#REF!</v>
      </c>
      <c r="H59" s="69"/>
      <c r="I59" s="232"/>
      <c r="J59" s="239"/>
      <c r="K59" s="234"/>
      <c r="L59" s="218" t="s">
        <v>77</v>
      </c>
      <c r="M59" s="235" t="s">
        <v>77</v>
      </c>
      <c r="N59" s="236"/>
      <c r="O59" s="237"/>
      <c r="P59" s="238"/>
      <c r="Q59" s="43"/>
      <c r="R59" s="1"/>
      <c r="S59" s="1"/>
      <c r="T59" s="1"/>
      <c r="U59" s="4"/>
      <c r="V59" s="4"/>
      <c r="W59" s="4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39"/>
      <c r="E60" s="1"/>
      <c r="F60" s="67">
        <v>4</v>
      </c>
      <c r="G60" s="243" t="e">
        <f t="shared" si="26"/>
        <v>#REF!</v>
      </c>
      <c r="H60" s="69"/>
      <c r="I60" s="232"/>
      <c r="J60" s="239"/>
      <c r="K60" s="234"/>
      <c r="L60" s="218" t="s">
        <v>77</v>
      </c>
      <c r="M60" s="235" t="s">
        <v>77</v>
      </c>
      <c r="N60" s="236"/>
      <c r="O60" s="237"/>
      <c r="P60" s="238"/>
      <c r="Q60" s="43"/>
      <c r="R60" s="1"/>
      <c r="S60" s="1"/>
      <c r="T60" s="1"/>
      <c r="U60" s="4"/>
      <c r="V60" s="4"/>
      <c r="W60" s="4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67"/>
      <c r="G61" s="243"/>
      <c r="H61" s="69"/>
      <c r="I61" s="232"/>
      <c r="J61" s="239"/>
      <c r="K61" s="70"/>
      <c r="L61" s="218"/>
      <c r="M61" s="235"/>
      <c r="N61" s="244"/>
      <c r="O61" s="237"/>
      <c r="P61" s="241"/>
      <c r="Q61" s="43"/>
      <c r="R61" s="1"/>
      <c r="S61" s="1"/>
      <c r="T61" s="1"/>
      <c r="U61" s="4"/>
      <c r="V61" s="4"/>
      <c r="W61" s="4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45" t="s">
        <v>55</v>
      </c>
      <c r="G62" s="46" t="e">
        <f>SUM(G57:G61)</f>
        <v>#REF!</v>
      </c>
      <c r="H62" s="47"/>
      <c r="I62" s="48"/>
      <c r="J62" s="49"/>
      <c r="K62" s="50"/>
      <c r="L62" s="51" t="s">
        <v>29</v>
      </c>
      <c r="M62" s="52">
        <f>SUM(M57:M60)</f>
        <v>0</v>
      </c>
      <c r="N62" s="312"/>
      <c r="O62" s="376"/>
      <c r="P62" s="310"/>
      <c r="Q62" s="379"/>
      <c r="R62" s="1"/>
      <c r="S62" s="1"/>
      <c r="T62" s="1"/>
      <c r="U62" s="4"/>
      <c r="V62" s="4"/>
      <c r="W62" s="4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53" t="s">
        <v>57</v>
      </c>
      <c r="G63" s="54" t="e">
        <f>L11-G62</f>
        <v>#REF!</v>
      </c>
      <c r="H63" s="245"/>
      <c r="I63" s="71"/>
      <c r="J63" s="72">
        <f>G39</f>
        <v>0</v>
      </c>
      <c r="K63" s="246">
        <f>SUM(J63)</f>
        <v>0</v>
      </c>
      <c r="L63" s="53" t="s">
        <v>59</v>
      </c>
      <c r="M63" s="54" t="e">
        <f>G62-M62</f>
        <v>#REF!</v>
      </c>
      <c r="N63" s="314"/>
      <c r="O63" s="359"/>
      <c r="P63" s="311"/>
      <c r="Q63" s="360"/>
      <c r="R63" s="1"/>
      <c r="S63" s="1"/>
      <c r="T63" s="1"/>
      <c r="U63" s="4"/>
      <c r="V63" s="4"/>
      <c r="W63" s="4"/>
      <c r="X63" s="1"/>
      <c r="Y63" s="1"/>
      <c r="Z63" s="1"/>
      <c r="AA63" s="1"/>
      <c r="AB63" s="1"/>
      <c r="AC63" s="1"/>
      <c r="AD63" s="1"/>
      <c r="AE63" s="1"/>
      <c r="AF63" s="1"/>
    </row>
    <row r="64" spans="1:32" ht="6" customHeight="1">
      <c r="A64" s="1"/>
      <c r="B64" s="1"/>
      <c r="C64" s="1"/>
      <c r="D64" s="1"/>
      <c r="E64" s="1"/>
      <c r="F64" s="73"/>
      <c r="G64" s="247"/>
      <c r="H64" s="248"/>
      <c r="I64" s="248"/>
      <c r="J64" s="249"/>
      <c r="K64" s="248"/>
      <c r="L64" s="248"/>
      <c r="M64" s="248"/>
      <c r="N64" s="250"/>
      <c r="O64" s="248"/>
      <c r="P64" s="248"/>
      <c r="Q64" s="74"/>
      <c r="R64" s="1"/>
      <c r="S64" s="1"/>
      <c r="T64" s="1"/>
      <c r="U64" s="4"/>
      <c r="V64" s="4"/>
      <c r="W64" s="4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304" t="s">
        <v>64</v>
      </c>
      <c r="G65" s="359"/>
      <c r="H65" s="359"/>
      <c r="I65" s="359"/>
      <c r="J65" s="359"/>
      <c r="K65" s="359"/>
      <c r="L65" s="359"/>
      <c r="M65" s="359"/>
      <c r="N65" s="359"/>
      <c r="O65" s="359"/>
      <c r="P65" s="359"/>
      <c r="Q65" s="360"/>
      <c r="R65" s="1"/>
      <c r="S65" s="1"/>
      <c r="T65" s="1"/>
      <c r="U65" s="4"/>
      <c r="V65" s="4"/>
      <c r="W65" s="4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305" t="s">
        <v>35</v>
      </c>
      <c r="G66" s="357"/>
      <c r="H66" s="375"/>
      <c r="I66" s="306"/>
      <c r="J66" s="357"/>
      <c r="K66" s="358"/>
      <c r="L66" s="305" t="s">
        <v>37</v>
      </c>
      <c r="M66" s="357"/>
      <c r="N66" s="357"/>
      <c r="O66" s="357"/>
      <c r="P66" s="357"/>
      <c r="Q66" s="358"/>
      <c r="R66" s="1"/>
      <c r="S66" s="1"/>
      <c r="T66" s="1"/>
      <c r="U66" s="4"/>
      <c r="V66" s="4"/>
      <c r="W66" s="4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61" t="s">
        <v>38</v>
      </c>
      <c r="G67" s="62" t="s">
        <v>39</v>
      </c>
      <c r="H67" s="63" t="s">
        <v>40</v>
      </c>
      <c r="I67" s="64"/>
      <c r="J67" s="65"/>
      <c r="K67" s="66"/>
      <c r="L67" s="307" t="s">
        <v>43</v>
      </c>
      <c r="M67" s="380"/>
      <c r="N67" s="308"/>
      <c r="O67" s="381"/>
      <c r="P67" s="309"/>
      <c r="Q67" s="365"/>
      <c r="R67" s="1"/>
      <c r="S67" s="1"/>
      <c r="T67" s="1"/>
      <c r="U67" s="4"/>
      <c r="V67" s="4"/>
      <c r="W67" s="4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67">
        <v>1</v>
      </c>
      <c r="G68" s="243" t="e">
        <f t="shared" ref="G68:G71" si="27">HLOOKUP($Q$3,#REF!,137+F68,0)</f>
        <v>#REF!</v>
      </c>
      <c r="H68" s="69"/>
      <c r="I68" s="232"/>
      <c r="J68" s="239"/>
      <c r="K68" s="234"/>
      <c r="L68" s="218" t="s">
        <v>77</v>
      </c>
      <c r="M68" s="235" t="s">
        <v>77</v>
      </c>
      <c r="N68" s="236"/>
      <c r="O68" s="237"/>
      <c r="P68" s="238"/>
      <c r="Q68" s="43"/>
      <c r="R68" s="1"/>
      <c r="S68" s="1"/>
      <c r="T68" s="1"/>
      <c r="U68" s="4"/>
      <c r="V68" s="4"/>
      <c r="W68" s="4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67">
        <v>2</v>
      </c>
      <c r="G69" s="243" t="e">
        <f t="shared" si="27"/>
        <v>#REF!</v>
      </c>
      <c r="H69" s="69"/>
      <c r="I69" s="232"/>
      <c r="J69" s="239"/>
      <c r="K69" s="234"/>
      <c r="L69" s="218" t="s">
        <v>77</v>
      </c>
      <c r="M69" s="235" t="s">
        <v>77</v>
      </c>
      <c r="N69" s="236"/>
      <c r="O69" s="237"/>
      <c r="P69" s="238"/>
      <c r="Q69" s="43"/>
      <c r="R69" s="1"/>
      <c r="S69" s="1"/>
      <c r="T69" s="1"/>
      <c r="U69" s="4"/>
      <c r="V69" s="4"/>
      <c r="W69" s="4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67">
        <v>3</v>
      </c>
      <c r="G70" s="243" t="e">
        <f t="shared" si="27"/>
        <v>#REF!</v>
      </c>
      <c r="H70" s="69"/>
      <c r="I70" s="232"/>
      <c r="J70" s="239"/>
      <c r="K70" s="234"/>
      <c r="L70" s="218" t="s">
        <v>77</v>
      </c>
      <c r="M70" s="235" t="s">
        <v>77</v>
      </c>
      <c r="N70" s="236"/>
      <c r="O70" s="237"/>
      <c r="P70" s="238"/>
      <c r="Q70" s="43"/>
      <c r="R70" s="1"/>
      <c r="S70" s="1"/>
      <c r="T70" s="1"/>
      <c r="U70" s="4"/>
      <c r="V70" s="4"/>
      <c r="W70" s="4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67">
        <v>4</v>
      </c>
      <c r="G71" s="243" t="e">
        <f t="shared" si="27"/>
        <v>#REF!</v>
      </c>
      <c r="H71" s="69"/>
      <c r="I71" s="232"/>
      <c r="J71" s="239"/>
      <c r="K71" s="234"/>
      <c r="L71" s="218" t="s">
        <v>77</v>
      </c>
      <c r="M71" s="235" t="s">
        <v>77</v>
      </c>
      <c r="N71" s="236"/>
      <c r="O71" s="237"/>
      <c r="P71" s="238"/>
      <c r="Q71" s="43"/>
      <c r="R71" s="1"/>
      <c r="S71" s="1"/>
      <c r="T71" s="1"/>
      <c r="U71" s="4"/>
      <c r="V71" s="4"/>
      <c r="W71" s="4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67"/>
      <c r="G72" s="243"/>
      <c r="H72" s="69"/>
      <c r="I72" s="232"/>
      <c r="J72" s="239"/>
      <c r="K72" s="70"/>
      <c r="L72" s="218"/>
      <c r="M72" s="235"/>
      <c r="N72" s="244"/>
      <c r="O72" s="237"/>
      <c r="P72" s="241"/>
      <c r="Q72" s="43"/>
      <c r="R72" s="1"/>
      <c r="S72" s="1"/>
      <c r="T72" s="1"/>
      <c r="U72" s="4"/>
      <c r="V72" s="4"/>
      <c r="W72" s="4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45" t="s">
        <v>55</v>
      </c>
      <c r="G73" s="46" t="e">
        <f>SUM(G68:G72)</f>
        <v>#REF!</v>
      </c>
      <c r="H73" s="47"/>
      <c r="I73" s="48"/>
      <c r="J73" s="49"/>
      <c r="K73" s="50"/>
      <c r="L73" s="51" t="s">
        <v>29</v>
      </c>
      <c r="M73" s="52">
        <f>SUM(M68:M71)</f>
        <v>0</v>
      </c>
      <c r="N73" s="312"/>
      <c r="O73" s="376"/>
      <c r="P73" s="310"/>
      <c r="Q73" s="379"/>
      <c r="R73" s="1"/>
      <c r="S73" s="1"/>
      <c r="T73" s="1"/>
      <c r="U73" s="4"/>
      <c r="V73" s="4"/>
      <c r="W73" s="4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53" t="s">
        <v>57</v>
      </c>
      <c r="G74" s="54" t="e">
        <f>N11-G73</f>
        <v>#REF!</v>
      </c>
      <c r="H74" s="245"/>
      <c r="I74" s="71"/>
      <c r="J74" s="72"/>
      <c r="K74" s="246"/>
      <c r="L74" s="53" t="s">
        <v>59</v>
      </c>
      <c r="M74" s="54" t="e">
        <f>G73-M73</f>
        <v>#REF!</v>
      </c>
      <c r="N74" s="314"/>
      <c r="O74" s="359"/>
      <c r="P74" s="311"/>
      <c r="Q74" s="360"/>
      <c r="R74" s="1"/>
      <c r="S74" s="1"/>
      <c r="T74" s="1"/>
      <c r="U74" s="4"/>
      <c r="V74" s="4"/>
      <c r="W74" s="4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73"/>
      <c r="G75" s="247"/>
      <c r="H75" s="248"/>
      <c r="I75" s="248"/>
      <c r="J75" s="249"/>
      <c r="K75" s="248"/>
      <c r="L75" s="248"/>
      <c r="M75" s="248"/>
      <c r="N75" s="250"/>
      <c r="O75" s="248"/>
      <c r="P75" s="248"/>
      <c r="Q75" s="74"/>
      <c r="R75" s="1"/>
      <c r="S75" s="1"/>
      <c r="T75" s="1"/>
      <c r="U75" s="4"/>
      <c r="V75" s="4"/>
      <c r="W75" s="4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"/>
      <c r="D76" s="1"/>
      <c r="E76" s="1"/>
      <c r="F76" s="304"/>
      <c r="G76" s="359"/>
      <c r="H76" s="359"/>
      <c r="I76" s="359"/>
      <c r="J76" s="359"/>
      <c r="K76" s="359"/>
      <c r="L76" s="359"/>
      <c r="M76" s="359"/>
      <c r="N76" s="359"/>
      <c r="O76" s="359"/>
      <c r="P76" s="359"/>
      <c r="Q76" s="360"/>
      <c r="R76" s="1"/>
      <c r="S76" s="1"/>
      <c r="T76" s="1"/>
      <c r="U76" s="4"/>
      <c r="V76" s="4"/>
      <c r="W76" s="4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305"/>
      <c r="G77" s="357"/>
      <c r="H77" s="357"/>
      <c r="I77" s="357"/>
      <c r="J77" s="357"/>
      <c r="K77" s="358"/>
      <c r="L77" s="305"/>
      <c r="M77" s="357"/>
      <c r="N77" s="357"/>
      <c r="O77" s="357"/>
      <c r="P77" s="357"/>
      <c r="Q77" s="358"/>
      <c r="R77" s="1"/>
      <c r="S77" s="1"/>
      <c r="T77" s="1"/>
      <c r="U77" s="4"/>
      <c r="V77" s="4"/>
      <c r="W77" s="4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75"/>
      <c r="G78" s="62"/>
      <c r="H78" s="315"/>
      <c r="I78" s="380"/>
      <c r="J78" s="315"/>
      <c r="K78" s="380"/>
      <c r="L78" s="307"/>
      <c r="M78" s="380"/>
      <c r="N78" s="308"/>
      <c r="O78" s="381"/>
      <c r="P78" s="309"/>
      <c r="Q78" s="365"/>
      <c r="R78" s="1"/>
      <c r="S78" s="1"/>
      <c r="T78" s="1"/>
      <c r="U78" s="4"/>
      <c r="V78" s="4"/>
      <c r="W78" s="4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67"/>
      <c r="G79" s="243"/>
      <c r="H79" s="316"/>
      <c r="I79" s="382"/>
      <c r="J79" s="316"/>
      <c r="K79" s="382"/>
      <c r="L79" s="218"/>
      <c r="M79" s="235"/>
      <c r="N79" s="244"/>
      <c r="O79" s="237"/>
      <c r="P79" s="241"/>
      <c r="Q79" s="43"/>
      <c r="R79" s="1"/>
      <c r="S79" s="1"/>
      <c r="T79" s="1"/>
      <c r="U79" s="4"/>
      <c r="V79" s="4"/>
      <c r="W79" s="4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67"/>
      <c r="G80" s="243"/>
      <c r="H80" s="317"/>
      <c r="I80" s="377"/>
      <c r="J80" s="317"/>
      <c r="K80" s="377"/>
      <c r="L80" s="218"/>
      <c r="M80" s="235"/>
      <c r="N80" s="244"/>
      <c r="O80" s="237"/>
      <c r="P80" s="241"/>
      <c r="Q80" s="43"/>
      <c r="R80" s="1"/>
      <c r="S80" s="1"/>
      <c r="T80" s="1"/>
      <c r="U80" s="4"/>
      <c r="V80" s="4"/>
      <c r="W80" s="4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67"/>
      <c r="G81" s="243"/>
      <c r="H81" s="317"/>
      <c r="I81" s="377"/>
      <c r="J81" s="317"/>
      <c r="K81" s="377"/>
      <c r="L81" s="218"/>
      <c r="M81" s="235"/>
      <c r="N81" s="244"/>
      <c r="O81" s="237"/>
      <c r="P81" s="241"/>
      <c r="Q81" s="43"/>
      <c r="R81" s="1"/>
      <c r="S81" s="1"/>
      <c r="T81" s="1"/>
      <c r="U81" s="4"/>
      <c r="V81" s="4"/>
      <c r="W81" s="4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67"/>
      <c r="G82" s="243"/>
      <c r="H82" s="317"/>
      <c r="I82" s="377"/>
      <c r="J82" s="317"/>
      <c r="K82" s="377"/>
      <c r="L82" s="218"/>
      <c r="M82" s="235"/>
      <c r="N82" s="244"/>
      <c r="O82" s="237"/>
      <c r="P82" s="241"/>
      <c r="Q82" s="43"/>
      <c r="R82" s="1"/>
      <c r="S82" s="1"/>
      <c r="T82" s="1"/>
      <c r="U82" s="4"/>
      <c r="V82" s="4"/>
      <c r="W82" s="4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67"/>
      <c r="G83" s="243"/>
      <c r="H83" s="318"/>
      <c r="I83" s="383"/>
      <c r="J83" s="318"/>
      <c r="K83" s="383"/>
      <c r="L83" s="218"/>
      <c r="M83" s="235"/>
      <c r="N83" s="244"/>
      <c r="O83" s="237"/>
      <c r="P83" s="241"/>
      <c r="Q83" s="43"/>
      <c r="R83" s="1"/>
      <c r="S83" s="1"/>
      <c r="T83" s="1"/>
      <c r="U83" s="4"/>
      <c r="V83" s="4"/>
      <c r="W83" s="4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45"/>
      <c r="G84" s="46"/>
      <c r="H84" s="47"/>
      <c r="I84" s="47"/>
      <c r="J84" s="47"/>
      <c r="K84" s="47"/>
      <c r="L84" s="51"/>
      <c r="M84" s="52"/>
      <c r="N84" s="312"/>
      <c r="O84" s="376"/>
      <c r="P84" s="310"/>
      <c r="Q84" s="379"/>
      <c r="R84" s="1"/>
      <c r="S84" s="1"/>
      <c r="T84" s="1"/>
      <c r="U84" s="4"/>
      <c r="V84" s="4"/>
      <c r="W84" s="4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4"/>
      <c r="L85" s="1"/>
      <c r="M85" s="1"/>
      <c r="N85" s="1"/>
      <c r="O85" s="1"/>
      <c r="P85" s="1"/>
      <c r="Q85" s="1"/>
      <c r="R85" s="1"/>
      <c r="S85" s="1"/>
      <c r="T85" s="1"/>
      <c r="U85" s="4"/>
      <c r="V85" s="4"/>
      <c r="W85" s="4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4"/>
      <c r="L86" s="1"/>
      <c r="M86" s="1"/>
      <c r="N86" s="1"/>
      <c r="O86" s="1"/>
      <c r="P86" s="1"/>
      <c r="Q86" s="1"/>
      <c r="R86" s="1"/>
      <c r="S86" s="1"/>
      <c r="T86" s="1"/>
      <c r="U86" s="4"/>
      <c r="V86" s="4"/>
      <c r="W86" s="4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4"/>
      <c r="L87" s="1"/>
      <c r="M87" s="1"/>
      <c r="N87" s="1"/>
      <c r="O87" s="1"/>
      <c r="P87" s="1"/>
      <c r="Q87" s="1"/>
      <c r="R87" s="1"/>
      <c r="S87" s="1"/>
      <c r="T87" s="1"/>
      <c r="U87" s="4"/>
      <c r="V87" s="4"/>
      <c r="W87" s="4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4"/>
      <c r="L88" s="1"/>
      <c r="M88" s="1"/>
      <c r="N88" s="1"/>
      <c r="O88" s="1"/>
      <c r="P88" s="1"/>
      <c r="Q88" s="1"/>
      <c r="R88" s="1"/>
      <c r="S88" s="1"/>
      <c r="T88" s="1"/>
      <c r="U88" s="4"/>
      <c r="V88" s="4"/>
      <c r="W88" s="4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4"/>
      <c r="L89" s="1"/>
      <c r="M89" s="1"/>
      <c r="N89" s="1"/>
      <c r="O89" s="1"/>
      <c r="P89" s="1"/>
      <c r="Q89" s="1"/>
      <c r="R89" s="1"/>
      <c r="S89" s="1"/>
      <c r="T89" s="1"/>
      <c r="U89" s="4"/>
      <c r="V89" s="4"/>
      <c r="W89" s="4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4"/>
      <c r="L90" s="1"/>
      <c r="M90" s="1"/>
      <c r="N90" s="1"/>
      <c r="O90" s="1"/>
      <c r="P90" s="1"/>
      <c r="Q90" s="1"/>
      <c r="R90" s="1"/>
      <c r="S90" s="1"/>
      <c r="T90" s="1"/>
      <c r="U90" s="4"/>
      <c r="V90" s="4"/>
      <c r="W90" s="4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4"/>
      <c r="L91" s="1"/>
      <c r="M91" s="1"/>
      <c r="N91" s="1"/>
      <c r="O91" s="1"/>
      <c r="P91" s="1"/>
      <c r="Q91" s="1"/>
      <c r="R91" s="1"/>
      <c r="S91" s="1"/>
      <c r="T91" s="1"/>
      <c r="U91" s="4"/>
      <c r="V91" s="4"/>
      <c r="W91" s="4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4"/>
      <c r="L92" s="1"/>
      <c r="M92" s="1"/>
      <c r="N92" s="1"/>
      <c r="O92" s="1"/>
      <c r="P92" s="1"/>
      <c r="Q92" s="1"/>
      <c r="R92" s="1"/>
      <c r="S92" s="1"/>
      <c r="T92" s="1"/>
      <c r="U92" s="4"/>
      <c r="V92" s="4"/>
      <c r="W92" s="4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4"/>
      <c r="L93" s="1"/>
      <c r="M93" s="1"/>
      <c r="N93" s="1"/>
      <c r="O93" s="1"/>
      <c r="P93" s="1"/>
      <c r="Q93" s="1"/>
      <c r="R93" s="1"/>
      <c r="S93" s="1"/>
      <c r="T93" s="1"/>
      <c r="U93" s="4"/>
      <c r="V93" s="4"/>
      <c r="W93" s="4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4"/>
      <c r="L94" s="1"/>
      <c r="M94" s="1"/>
      <c r="N94" s="1"/>
      <c r="O94" s="1"/>
      <c r="P94" s="1"/>
      <c r="Q94" s="1"/>
      <c r="R94" s="1"/>
      <c r="S94" s="1"/>
      <c r="T94" s="1"/>
      <c r="U94" s="4"/>
      <c r="V94" s="4"/>
      <c r="W94" s="4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4"/>
      <c r="L95" s="1"/>
      <c r="M95" s="1"/>
      <c r="N95" s="1"/>
      <c r="O95" s="1"/>
      <c r="P95" s="1"/>
      <c r="Q95" s="1"/>
      <c r="R95" s="1"/>
      <c r="S95" s="1"/>
      <c r="T95" s="1"/>
      <c r="U95" s="4"/>
      <c r="V95" s="4"/>
      <c r="W95" s="4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4"/>
      <c r="L96" s="1"/>
      <c r="M96" s="1"/>
      <c r="N96" s="1"/>
      <c r="O96" s="1"/>
      <c r="P96" s="1"/>
      <c r="Q96" s="1"/>
      <c r="R96" s="1"/>
      <c r="S96" s="1"/>
      <c r="T96" s="1"/>
      <c r="U96" s="4"/>
      <c r="V96" s="4"/>
      <c r="W96" s="4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4"/>
      <c r="L97" s="1"/>
      <c r="M97" s="1"/>
      <c r="N97" s="1"/>
      <c r="O97" s="1"/>
      <c r="P97" s="1"/>
      <c r="Q97" s="1"/>
      <c r="R97" s="1"/>
      <c r="S97" s="1"/>
      <c r="T97" s="1"/>
      <c r="U97" s="4"/>
      <c r="V97" s="4"/>
      <c r="W97" s="4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4"/>
      <c r="L98" s="1"/>
      <c r="M98" s="1"/>
      <c r="N98" s="1"/>
      <c r="O98" s="1"/>
      <c r="P98" s="1"/>
      <c r="Q98" s="1"/>
      <c r="R98" s="1"/>
      <c r="S98" s="1"/>
      <c r="T98" s="1"/>
      <c r="U98" s="4"/>
      <c r="V98" s="4"/>
      <c r="W98" s="4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4"/>
      <c r="L99" s="1"/>
      <c r="M99" s="1"/>
      <c r="N99" s="1"/>
      <c r="O99" s="1"/>
      <c r="P99" s="1"/>
      <c r="Q99" s="1"/>
      <c r="R99" s="1"/>
      <c r="S99" s="1"/>
      <c r="T99" s="1"/>
      <c r="U99" s="4"/>
      <c r="V99" s="4"/>
      <c r="W99" s="4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4"/>
      <c r="L100" s="1"/>
      <c r="M100" s="1"/>
      <c r="N100" s="1"/>
      <c r="O100" s="1"/>
      <c r="P100" s="1"/>
      <c r="Q100" s="1"/>
      <c r="R100" s="1"/>
      <c r="S100" s="1"/>
      <c r="T100" s="1"/>
      <c r="U100" s="4"/>
      <c r="V100" s="4"/>
      <c r="W100" s="4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4"/>
      <c r="L101" s="1"/>
      <c r="M101" s="1"/>
      <c r="N101" s="1"/>
      <c r="O101" s="1"/>
      <c r="P101" s="1"/>
      <c r="Q101" s="1"/>
      <c r="R101" s="1"/>
      <c r="S101" s="1"/>
      <c r="T101" s="1"/>
      <c r="U101" s="4"/>
      <c r="V101" s="4"/>
      <c r="W101" s="4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4"/>
      <c r="L102" s="1"/>
      <c r="M102" s="1"/>
      <c r="N102" s="1"/>
      <c r="O102" s="1"/>
      <c r="P102" s="1"/>
      <c r="Q102" s="1"/>
      <c r="R102" s="1"/>
      <c r="S102" s="1"/>
      <c r="T102" s="1"/>
      <c r="U102" s="4"/>
      <c r="V102" s="4"/>
      <c r="W102" s="4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4"/>
      <c r="L103" s="1"/>
      <c r="M103" s="1"/>
      <c r="N103" s="1"/>
      <c r="O103" s="1"/>
      <c r="P103" s="1"/>
      <c r="Q103" s="1"/>
      <c r="R103" s="1"/>
      <c r="S103" s="1"/>
      <c r="T103" s="1"/>
      <c r="U103" s="4"/>
      <c r="V103" s="4"/>
      <c r="W103" s="4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4"/>
      <c r="L104" s="1"/>
      <c r="M104" s="1"/>
      <c r="N104" s="1"/>
      <c r="O104" s="1"/>
      <c r="P104" s="1"/>
      <c r="Q104" s="1"/>
      <c r="R104" s="1"/>
      <c r="S104" s="1"/>
      <c r="T104" s="1"/>
      <c r="U104" s="4"/>
      <c r="V104" s="4"/>
      <c r="W104" s="4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4"/>
      <c r="L105" s="1"/>
      <c r="M105" s="1"/>
      <c r="N105" s="1"/>
      <c r="O105" s="1"/>
      <c r="P105" s="1"/>
      <c r="Q105" s="1"/>
      <c r="R105" s="1"/>
      <c r="S105" s="1"/>
      <c r="T105" s="1"/>
      <c r="U105" s="4"/>
      <c r="V105" s="4"/>
      <c r="W105" s="4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4"/>
      <c r="L106" s="1"/>
      <c r="M106" s="1"/>
      <c r="N106" s="1"/>
      <c r="O106" s="1"/>
      <c r="P106" s="1"/>
      <c r="Q106" s="1"/>
      <c r="R106" s="1"/>
      <c r="S106" s="1"/>
      <c r="T106" s="1"/>
      <c r="U106" s="4"/>
      <c r="V106" s="4"/>
      <c r="W106" s="4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4"/>
      <c r="L107" s="1"/>
      <c r="M107" s="1"/>
      <c r="N107" s="1"/>
      <c r="O107" s="1"/>
      <c r="P107" s="1"/>
      <c r="Q107" s="1"/>
      <c r="R107" s="1"/>
      <c r="S107" s="1"/>
      <c r="T107" s="1"/>
      <c r="U107" s="4"/>
      <c r="V107" s="4"/>
      <c r="W107" s="4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4"/>
      <c r="L108" s="1"/>
      <c r="M108" s="1"/>
      <c r="N108" s="1"/>
      <c r="O108" s="1"/>
      <c r="P108" s="1"/>
      <c r="Q108" s="1"/>
      <c r="R108" s="1"/>
      <c r="S108" s="1"/>
      <c r="T108" s="1"/>
      <c r="U108" s="4"/>
      <c r="V108" s="4"/>
      <c r="W108" s="4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4"/>
      <c r="L109" s="1"/>
      <c r="M109" s="1"/>
      <c r="N109" s="1"/>
      <c r="O109" s="1"/>
      <c r="P109" s="1"/>
      <c r="Q109" s="1"/>
      <c r="R109" s="1"/>
      <c r="S109" s="1"/>
      <c r="T109" s="1"/>
      <c r="U109" s="4"/>
      <c r="V109" s="4"/>
      <c r="W109" s="4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4"/>
      <c r="L110" s="1"/>
      <c r="M110" s="1"/>
      <c r="N110" s="1"/>
      <c r="O110" s="1"/>
      <c r="P110" s="1"/>
      <c r="Q110" s="1"/>
      <c r="R110" s="1"/>
      <c r="S110" s="1"/>
      <c r="T110" s="1"/>
      <c r="U110" s="4"/>
      <c r="V110" s="4"/>
      <c r="W110" s="4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4"/>
      <c r="L111" s="1"/>
      <c r="M111" s="1"/>
      <c r="N111" s="1"/>
      <c r="O111" s="1"/>
      <c r="P111" s="1"/>
      <c r="Q111" s="1"/>
      <c r="R111" s="1"/>
      <c r="S111" s="1"/>
      <c r="T111" s="1"/>
      <c r="U111" s="4"/>
      <c r="V111" s="4"/>
      <c r="W111" s="4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4"/>
      <c r="L112" s="1"/>
      <c r="M112" s="1"/>
      <c r="N112" s="1"/>
      <c r="O112" s="1"/>
      <c r="P112" s="1"/>
      <c r="Q112" s="1"/>
      <c r="R112" s="1"/>
      <c r="S112" s="1"/>
      <c r="T112" s="1"/>
      <c r="U112" s="4"/>
      <c r="V112" s="4"/>
      <c r="W112" s="4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4"/>
      <c r="L113" s="1"/>
      <c r="M113" s="1"/>
      <c r="N113" s="1"/>
      <c r="O113" s="1"/>
      <c r="P113" s="1"/>
      <c r="Q113" s="1"/>
      <c r="R113" s="1"/>
      <c r="S113" s="1"/>
      <c r="T113" s="1"/>
      <c r="U113" s="4"/>
      <c r="V113" s="4"/>
      <c r="W113" s="4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4"/>
      <c r="L114" s="1"/>
      <c r="M114" s="1"/>
      <c r="N114" s="1"/>
      <c r="O114" s="1"/>
      <c r="P114" s="1"/>
      <c r="Q114" s="1"/>
      <c r="R114" s="1"/>
      <c r="S114" s="1"/>
      <c r="T114" s="1"/>
      <c r="U114" s="4"/>
      <c r="V114" s="4"/>
      <c r="W114" s="4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4"/>
      <c r="L115" s="1"/>
      <c r="M115" s="1"/>
      <c r="N115" s="1"/>
      <c r="O115" s="1"/>
      <c r="P115" s="1"/>
      <c r="Q115" s="1"/>
      <c r="R115" s="1"/>
      <c r="S115" s="1"/>
      <c r="T115" s="1"/>
      <c r="U115" s="4"/>
      <c r="V115" s="4"/>
      <c r="W115" s="4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4"/>
      <c r="L116" s="1"/>
      <c r="M116" s="1"/>
      <c r="N116" s="1"/>
      <c r="O116" s="1"/>
      <c r="P116" s="1"/>
      <c r="Q116" s="1"/>
      <c r="R116" s="1"/>
      <c r="S116" s="1"/>
      <c r="T116" s="1"/>
      <c r="U116" s="4"/>
      <c r="V116" s="4"/>
      <c r="W116" s="4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4"/>
      <c r="L117" s="1"/>
      <c r="M117" s="1"/>
      <c r="N117" s="1"/>
      <c r="O117" s="1"/>
      <c r="P117" s="1"/>
      <c r="Q117" s="1"/>
      <c r="R117" s="1"/>
      <c r="S117" s="1"/>
      <c r="T117" s="1"/>
      <c r="U117" s="4"/>
      <c r="V117" s="4"/>
      <c r="W117" s="4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4"/>
      <c r="L118" s="1"/>
      <c r="M118" s="1"/>
      <c r="N118" s="1"/>
      <c r="O118" s="1"/>
      <c r="P118" s="1"/>
      <c r="Q118" s="1"/>
      <c r="R118" s="1"/>
      <c r="S118" s="1"/>
      <c r="T118" s="1"/>
      <c r="U118" s="4"/>
      <c r="V118" s="4"/>
      <c r="W118" s="4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4"/>
      <c r="L119" s="1"/>
      <c r="M119" s="1"/>
      <c r="N119" s="1"/>
      <c r="O119" s="1"/>
      <c r="P119" s="1"/>
      <c r="Q119" s="1"/>
      <c r="R119" s="1"/>
      <c r="S119" s="1"/>
      <c r="T119" s="1"/>
      <c r="U119" s="4"/>
      <c r="V119" s="4"/>
      <c r="W119" s="4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4"/>
      <c r="L120" s="1"/>
      <c r="M120" s="1"/>
      <c r="N120" s="1"/>
      <c r="O120" s="1"/>
      <c r="P120" s="1"/>
      <c r="Q120" s="1"/>
      <c r="R120" s="1"/>
      <c r="S120" s="1"/>
      <c r="T120" s="1"/>
      <c r="U120" s="4"/>
      <c r="V120" s="4"/>
      <c r="W120" s="4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4"/>
      <c r="L121" s="1"/>
      <c r="M121" s="1"/>
      <c r="N121" s="1"/>
      <c r="O121" s="1"/>
      <c r="P121" s="1"/>
      <c r="Q121" s="1"/>
      <c r="R121" s="1"/>
      <c r="S121" s="1"/>
      <c r="T121" s="1"/>
      <c r="U121" s="4"/>
      <c r="V121" s="4"/>
      <c r="W121" s="4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4"/>
      <c r="L122" s="1"/>
      <c r="M122" s="1"/>
      <c r="N122" s="1"/>
      <c r="O122" s="1"/>
      <c r="P122" s="1"/>
      <c r="Q122" s="1"/>
      <c r="R122" s="1"/>
      <c r="S122" s="1"/>
      <c r="T122" s="1"/>
      <c r="U122" s="4"/>
      <c r="V122" s="4"/>
      <c r="W122" s="4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4"/>
      <c r="L123" s="1"/>
      <c r="M123" s="1"/>
      <c r="N123" s="1"/>
      <c r="O123" s="1"/>
      <c r="P123" s="1"/>
      <c r="Q123" s="1"/>
      <c r="R123" s="1"/>
      <c r="S123" s="1"/>
      <c r="T123" s="1"/>
      <c r="U123" s="4"/>
      <c r="V123" s="4"/>
      <c r="W123" s="4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4"/>
      <c r="L124" s="1"/>
      <c r="M124" s="1"/>
      <c r="N124" s="1"/>
      <c r="O124" s="1"/>
      <c r="P124" s="1"/>
      <c r="Q124" s="1"/>
      <c r="R124" s="1"/>
      <c r="S124" s="1"/>
      <c r="T124" s="1"/>
      <c r="U124" s="4"/>
      <c r="V124" s="4"/>
      <c r="W124" s="4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4"/>
      <c r="L125" s="1"/>
      <c r="M125" s="1"/>
      <c r="N125" s="1"/>
      <c r="O125" s="1"/>
      <c r="P125" s="1"/>
      <c r="Q125" s="1"/>
      <c r="R125" s="1"/>
      <c r="S125" s="1"/>
      <c r="T125" s="1"/>
      <c r="U125" s="4"/>
      <c r="V125" s="4"/>
      <c r="W125" s="4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4"/>
      <c r="L126" s="1"/>
      <c r="M126" s="1"/>
      <c r="N126" s="1"/>
      <c r="O126" s="1"/>
      <c r="P126" s="1"/>
      <c r="Q126" s="1"/>
      <c r="R126" s="1"/>
      <c r="S126" s="1"/>
      <c r="T126" s="1"/>
      <c r="U126" s="4"/>
      <c r="V126" s="4"/>
      <c r="W126" s="4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4"/>
      <c r="L127" s="1"/>
      <c r="M127" s="1"/>
      <c r="N127" s="1"/>
      <c r="O127" s="1"/>
      <c r="P127" s="1"/>
      <c r="Q127" s="1"/>
      <c r="R127" s="1"/>
      <c r="S127" s="1"/>
      <c r="T127" s="1"/>
      <c r="U127" s="4"/>
      <c r="V127" s="4"/>
      <c r="W127" s="4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4"/>
      <c r="L128" s="1"/>
      <c r="M128" s="1"/>
      <c r="N128" s="1"/>
      <c r="O128" s="1"/>
      <c r="P128" s="1"/>
      <c r="Q128" s="1"/>
      <c r="R128" s="1"/>
      <c r="S128" s="1"/>
      <c r="T128" s="1"/>
      <c r="U128" s="4"/>
      <c r="V128" s="4"/>
      <c r="W128" s="4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4"/>
      <c r="L129" s="1"/>
      <c r="M129" s="1"/>
      <c r="N129" s="1"/>
      <c r="O129" s="1"/>
      <c r="P129" s="1"/>
      <c r="Q129" s="1"/>
      <c r="R129" s="1"/>
      <c r="S129" s="1"/>
      <c r="T129" s="1"/>
      <c r="U129" s="4"/>
      <c r="V129" s="4"/>
      <c r="W129" s="4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4"/>
      <c r="L130" s="1"/>
      <c r="M130" s="1"/>
      <c r="N130" s="1"/>
      <c r="O130" s="1"/>
      <c r="P130" s="1"/>
      <c r="Q130" s="1"/>
      <c r="R130" s="1"/>
      <c r="S130" s="1"/>
      <c r="T130" s="1"/>
      <c r="U130" s="4"/>
      <c r="V130" s="4"/>
      <c r="W130" s="4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4"/>
      <c r="L131" s="1"/>
      <c r="M131" s="1"/>
      <c r="N131" s="1"/>
      <c r="O131" s="1"/>
      <c r="P131" s="1"/>
      <c r="Q131" s="1"/>
      <c r="R131" s="1"/>
      <c r="S131" s="1"/>
      <c r="T131" s="1"/>
      <c r="U131" s="4"/>
      <c r="V131" s="4"/>
      <c r="W131" s="4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4"/>
      <c r="L132" s="1"/>
      <c r="M132" s="1"/>
      <c r="N132" s="1"/>
      <c r="O132" s="1"/>
      <c r="P132" s="1"/>
      <c r="Q132" s="1"/>
      <c r="R132" s="1"/>
      <c r="S132" s="1"/>
      <c r="T132" s="1"/>
      <c r="U132" s="4"/>
      <c r="V132" s="4"/>
      <c r="W132" s="4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4"/>
      <c r="L133" s="1"/>
      <c r="M133" s="1"/>
      <c r="N133" s="1"/>
      <c r="O133" s="1"/>
      <c r="P133" s="1"/>
      <c r="Q133" s="1"/>
      <c r="R133" s="1"/>
      <c r="S133" s="1"/>
      <c r="T133" s="1"/>
      <c r="U133" s="4"/>
      <c r="V133" s="4"/>
      <c r="W133" s="4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4"/>
      <c r="L134" s="1"/>
      <c r="M134" s="1"/>
      <c r="N134" s="1"/>
      <c r="O134" s="1"/>
      <c r="P134" s="1"/>
      <c r="Q134" s="1"/>
      <c r="R134" s="1"/>
      <c r="S134" s="1"/>
      <c r="T134" s="1"/>
      <c r="U134" s="4"/>
      <c r="V134" s="4"/>
      <c r="W134" s="4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4"/>
      <c r="L135" s="1"/>
      <c r="M135" s="1"/>
      <c r="N135" s="1"/>
      <c r="O135" s="1"/>
      <c r="P135" s="1"/>
      <c r="Q135" s="1"/>
      <c r="R135" s="1"/>
      <c r="S135" s="1"/>
      <c r="T135" s="1"/>
      <c r="U135" s="4"/>
      <c r="V135" s="4"/>
      <c r="W135" s="4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4"/>
      <c r="L136" s="1"/>
      <c r="M136" s="1"/>
      <c r="N136" s="1"/>
      <c r="O136" s="1"/>
      <c r="P136" s="1"/>
      <c r="Q136" s="1"/>
      <c r="R136" s="1"/>
      <c r="S136" s="1"/>
      <c r="T136" s="1"/>
      <c r="U136" s="4"/>
      <c r="V136" s="4"/>
      <c r="W136" s="4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4"/>
      <c r="L137" s="1"/>
      <c r="M137" s="1"/>
      <c r="N137" s="1"/>
      <c r="O137" s="1"/>
      <c r="P137" s="1"/>
      <c r="Q137" s="1"/>
      <c r="R137" s="1"/>
      <c r="S137" s="1"/>
      <c r="T137" s="1"/>
      <c r="U137" s="4"/>
      <c r="V137" s="4"/>
      <c r="W137" s="4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4"/>
      <c r="L138" s="1"/>
      <c r="M138" s="1"/>
      <c r="N138" s="1"/>
      <c r="O138" s="1"/>
      <c r="P138" s="1"/>
      <c r="Q138" s="1"/>
      <c r="R138" s="1"/>
      <c r="S138" s="1"/>
      <c r="T138" s="1"/>
      <c r="U138" s="4"/>
      <c r="V138" s="4"/>
      <c r="W138" s="4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4"/>
      <c r="L139" s="1"/>
      <c r="M139" s="1"/>
      <c r="N139" s="1"/>
      <c r="O139" s="1"/>
      <c r="P139" s="1"/>
      <c r="Q139" s="1"/>
      <c r="R139" s="1"/>
      <c r="S139" s="1"/>
      <c r="T139" s="1"/>
      <c r="U139" s="4"/>
      <c r="V139" s="4"/>
      <c r="W139" s="4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4"/>
      <c r="L140" s="1"/>
      <c r="M140" s="1"/>
      <c r="N140" s="1"/>
      <c r="O140" s="1"/>
      <c r="P140" s="1"/>
      <c r="Q140" s="1"/>
      <c r="R140" s="1"/>
      <c r="S140" s="1"/>
      <c r="T140" s="1"/>
      <c r="U140" s="4"/>
      <c r="V140" s="4"/>
      <c r="W140" s="4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4"/>
      <c r="L141" s="1"/>
      <c r="M141" s="1"/>
      <c r="N141" s="1"/>
      <c r="O141" s="1"/>
      <c r="P141" s="1"/>
      <c r="Q141" s="1"/>
      <c r="R141" s="1"/>
      <c r="S141" s="1"/>
      <c r="T141" s="1"/>
      <c r="U141" s="4"/>
      <c r="V141" s="4"/>
      <c r="W141" s="4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4"/>
      <c r="L142" s="1"/>
      <c r="M142" s="1"/>
      <c r="N142" s="1"/>
      <c r="O142" s="1"/>
      <c r="P142" s="1"/>
      <c r="Q142" s="1"/>
      <c r="R142" s="1"/>
      <c r="S142" s="1"/>
      <c r="T142" s="1"/>
      <c r="U142" s="4"/>
      <c r="V142" s="4"/>
      <c r="W142" s="4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4"/>
      <c r="L143" s="1"/>
      <c r="M143" s="1"/>
      <c r="N143" s="1"/>
      <c r="O143" s="1"/>
      <c r="P143" s="1"/>
      <c r="Q143" s="1"/>
      <c r="R143" s="1"/>
      <c r="S143" s="1"/>
      <c r="T143" s="1"/>
      <c r="U143" s="4"/>
      <c r="V143" s="4"/>
      <c r="W143" s="4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4"/>
      <c r="L144" s="1"/>
      <c r="M144" s="1"/>
      <c r="N144" s="1"/>
      <c r="O144" s="1"/>
      <c r="P144" s="1"/>
      <c r="Q144" s="1"/>
      <c r="R144" s="1"/>
      <c r="S144" s="1"/>
      <c r="T144" s="1"/>
      <c r="U144" s="4"/>
      <c r="V144" s="4"/>
      <c r="W144" s="4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4"/>
      <c r="L145" s="1"/>
      <c r="M145" s="1"/>
      <c r="N145" s="1"/>
      <c r="O145" s="1"/>
      <c r="P145" s="1"/>
      <c r="Q145" s="1"/>
      <c r="R145" s="1"/>
      <c r="S145" s="1"/>
      <c r="T145" s="1"/>
      <c r="U145" s="4"/>
      <c r="V145" s="4"/>
      <c r="W145" s="4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4"/>
      <c r="L146" s="1"/>
      <c r="M146" s="1"/>
      <c r="N146" s="1"/>
      <c r="O146" s="1"/>
      <c r="P146" s="1"/>
      <c r="Q146" s="1"/>
      <c r="R146" s="1"/>
      <c r="S146" s="1"/>
      <c r="T146" s="1"/>
      <c r="U146" s="4"/>
      <c r="V146" s="4"/>
      <c r="W146" s="4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4"/>
      <c r="L147" s="1"/>
      <c r="M147" s="1"/>
      <c r="N147" s="1"/>
      <c r="O147" s="1"/>
      <c r="P147" s="1"/>
      <c r="Q147" s="1"/>
      <c r="R147" s="1"/>
      <c r="S147" s="1"/>
      <c r="T147" s="1"/>
      <c r="U147" s="4"/>
      <c r="V147" s="4"/>
      <c r="W147" s="4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4"/>
      <c r="L148" s="1"/>
      <c r="M148" s="1"/>
      <c r="N148" s="1"/>
      <c r="O148" s="1"/>
      <c r="P148" s="1"/>
      <c r="Q148" s="1"/>
      <c r="R148" s="1"/>
      <c r="S148" s="1"/>
      <c r="T148" s="1"/>
      <c r="U148" s="4"/>
      <c r="V148" s="4"/>
      <c r="W148" s="4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4"/>
      <c r="L149" s="1"/>
      <c r="M149" s="1"/>
      <c r="N149" s="1"/>
      <c r="O149" s="1"/>
      <c r="P149" s="1"/>
      <c r="Q149" s="1"/>
      <c r="R149" s="1"/>
      <c r="S149" s="1"/>
      <c r="T149" s="1"/>
      <c r="U149" s="4"/>
      <c r="V149" s="4"/>
      <c r="W149" s="4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4"/>
      <c r="L150" s="1"/>
      <c r="M150" s="1"/>
      <c r="N150" s="1"/>
      <c r="O150" s="1"/>
      <c r="P150" s="1"/>
      <c r="Q150" s="1"/>
      <c r="R150" s="1"/>
      <c r="S150" s="1"/>
      <c r="T150" s="1"/>
      <c r="U150" s="4"/>
      <c r="V150" s="4"/>
      <c r="W150" s="4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4"/>
      <c r="L151" s="1"/>
      <c r="M151" s="1"/>
      <c r="N151" s="1"/>
      <c r="O151" s="1"/>
      <c r="P151" s="1"/>
      <c r="Q151" s="1"/>
      <c r="R151" s="1"/>
      <c r="S151" s="1"/>
      <c r="T151" s="1"/>
      <c r="U151" s="4"/>
      <c r="V151" s="4"/>
      <c r="W151" s="4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4"/>
      <c r="L152" s="1"/>
      <c r="M152" s="1"/>
      <c r="N152" s="1"/>
      <c r="O152" s="1"/>
      <c r="P152" s="1"/>
      <c r="Q152" s="1"/>
      <c r="R152" s="1"/>
      <c r="S152" s="1"/>
      <c r="T152" s="1"/>
      <c r="U152" s="4"/>
      <c r="V152" s="4"/>
      <c r="W152" s="4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4"/>
      <c r="L153" s="1"/>
      <c r="M153" s="1"/>
      <c r="N153" s="1"/>
      <c r="O153" s="1"/>
      <c r="P153" s="1"/>
      <c r="Q153" s="1"/>
      <c r="R153" s="1"/>
      <c r="S153" s="1"/>
      <c r="T153" s="1"/>
      <c r="U153" s="4"/>
      <c r="V153" s="4"/>
      <c r="W153" s="4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4"/>
      <c r="L154" s="1"/>
      <c r="M154" s="1"/>
      <c r="N154" s="1"/>
      <c r="O154" s="1"/>
      <c r="P154" s="1"/>
      <c r="Q154" s="1"/>
      <c r="R154" s="1"/>
      <c r="S154" s="1"/>
      <c r="T154" s="1"/>
      <c r="U154" s="4"/>
      <c r="V154" s="4"/>
      <c r="W154" s="4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4"/>
      <c r="L155" s="1"/>
      <c r="M155" s="1"/>
      <c r="N155" s="1"/>
      <c r="O155" s="1"/>
      <c r="P155" s="1"/>
      <c r="Q155" s="1"/>
      <c r="R155" s="1"/>
      <c r="S155" s="1"/>
      <c r="T155" s="1"/>
      <c r="U155" s="4"/>
      <c r="V155" s="4"/>
      <c r="W155" s="4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4"/>
      <c r="L156" s="1"/>
      <c r="M156" s="1"/>
      <c r="N156" s="1"/>
      <c r="O156" s="1"/>
      <c r="P156" s="1"/>
      <c r="Q156" s="1"/>
      <c r="R156" s="1"/>
      <c r="S156" s="1"/>
      <c r="T156" s="1"/>
      <c r="U156" s="4"/>
      <c r="V156" s="4"/>
      <c r="W156" s="4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4"/>
      <c r="L157" s="1"/>
      <c r="M157" s="1"/>
      <c r="N157" s="1"/>
      <c r="O157" s="1"/>
      <c r="P157" s="1"/>
      <c r="Q157" s="1"/>
      <c r="R157" s="1"/>
      <c r="S157" s="1"/>
      <c r="T157" s="1"/>
      <c r="U157" s="4"/>
      <c r="V157" s="4"/>
      <c r="W157" s="4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4"/>
      <c r="L158" s="1"/>
      <c r="M158" s="1"/>
      <c r="N158" s="1"/>
      <c r="O158" s="1"/>
      <c r="P158" s="1"/>
      <c r="Q158" s="1"/>
      <c r="R158" s="1"/>
      <c r="S158" s="1"/>
      <c r="T158" s="1"/>
      <c r="U158" s="4"/>
      <c r="V158" s="4"/>
      <c r="W158" s="4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4"/>
      <c r="L159" s="1"/>
      <c r="M159" s="1"/>
      <c r="N159" s="1"/>
      <c r="O159" s="1"/>
      <c r="P159" s="1"/>
      <c r="Q159" s="1"/>
      <c r="R159" s="1"/>
      <c r="S159" s="1"/>
      <c r="T159" s="1"/>
      <c r="U159" s="4"/>
      <c r="V159" s="4"/>
      <c r="W159" s="4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4"/>
      <c r="L160" s="1"/>
      <c r="M160" s="1"/>
      <c r="N160" s="1"/>
      <c r="O160" s="1"/>
      <c r="P160" s="1"/>
      <c r="Q160" s="1"/>
      <c r="R160" s="1"/>
      <c r="S160" s="1"/>
      <c r="T160" s="1"/>
      <c r="U160" s="4"/>
      <c r="V160" s="4"/>
      <c r="W160" s="4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4"/>
      <c r="L161" s="1"/>
      <c r="M161" s="1"/>
      <c r="N161" s="1"/>
      <c r="O161" s="1"/>
      <c r="P161" s="1"/>
      <c r="Q161" s="1"/>
      <c r="R161" s="1"/>
      <c r="S161" s="1"/>
      <c r="T161" s="1"/>
      <c r="U161" s="4"/>
      <c r="V161" s="4"/>
      <c r="W161" s="4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4"/>
      <c r="L162" s="1"/>
      <c r="M162" s="1"/>
      <c r="N162" s="1"/>
      <c r="O162" s="1"/>
      <c r="P162" s="1"/>
      <c r="Q162" s="1"/>
      <c r="R162" s="1"/>
      <c r="S162" s="1"/>
      <c r="T162" s="1"/>
      <c r="U162" s="4"/>
      <c r="V162" s="4"/>
      <c r="W162" s="4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4"/>
      <c r="L163" s="1"/>
      <c r="M163" s="1"/>
      <c r="N163" s="1"/>
      <c r="O163" s="1"/>
      <c r="P163" s="1"/>
      <c r="Q163" s="1"/>
      <c r="R163" s="1"/>
      <c r="S163" s="1"/>
      <c r="T163" s="1"/>
      <c r="U163" s="4"/>
      <c r="V163" s="4"/>
      <c r="W163" s="4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4"/>
      <c r="L164" s="1"/>
      <c r="M164" s="1"/>
      <c r="N164" s="1"/>
      <c r="O164" s="1"/>
      <c r="P164" s="1"/>
      <c r="Q164" s="1"/>
      <c r="R164" s="1"/>
      <c r="S164" s="1"/>
      <c r="T164" s="1"/>
      <c r="U164" s="4"/>
      <c r="V164" s="4"/>
      <c r="W164" s="4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4"/>
      <c r="L165" s="1"/>
      <c r="M165" s="1"/>
      <c r="N165" s="1"/>
      <c r="O165" s="1"/>
      <c r="P165" s="1"/>
      <c r="Q165" s="1"/>
      <c r="R165" s="1"/>
      <c r="S165" s="1"/>
      <c r="T165" s="1"/>
      <c r="U165" s="4"/>
      <c r="V165" s="4"/>
      <c r="W165" s="4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4"/>
      <c r="L166" s="1"/>
      <c r="M166" s="1"/>
      <c r="N166" s="1"/>
      <c r="O166" s="1"/>
      <c r="P166" s="1"/>
      <c r="Q166" s="1"/>
      <c r="R166" s="1"/>
      <c r="S166" s="1"/>
      <c r="T166" s="1"/>
      <c r="U166" s="4"/>
      <c r="V166" s="4"/>
      <c r="W166" s="4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4"/>
      <c r="L167" s="1"/>
      <c r="M167" s="1"/>
      <c r="N167" s="1"/>
      <c r="O167" s="1"/>
      <c r="P167" s="1"/>
      <c r="Q167" s="1"/>
      <c r="R167" s="1"/>
      <c r="S167" s="1"/>
      <c r="T167" s="1"/>
      <c r="U167" s="4"/>
      <c r="V167" s="4"/>
      <c r="W167" s="4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4"/>
      <c r="L168" s="1"/>
      <c r="M168" s="1"/>
      <c r="N168" s="1"/>
      <c r="O168" s="1"/>
      <c r="P168" s="1"/>
      <c r="Q168" s="1"/>
      <c r="R168" s="1"/>
      <c r="S168" s="1"/>
      <c r="T168" s="1"/>
      <c r="U168" s="4"/>
      <c r="V168" s="4"/>
      <c r="W168" s="4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4"/>
      <c r="L169" s="1"/>
      <c r="M169" s="1"/>
      <c r="N169" s="1"/>
      <c r="O169" s="1"/>
      <c r="P169" s="1"/>
      <c r="Q169" s="1"/>
      <c r="R169" s="1"/>
      <c r="S169" s="1"/>
      <c r="T169" s="1"/>
      <c r="U169" s="4"/>
      <c r="V169" s="4"/>
      <c r="W169" s="4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4"/>
      <c r="L170" s="1"/>
      <c r="M170" s="1"/>
      <c r="N170" s="1"/>
      <c r="O170" s="1"/>
      <c r="P170" s="1"/>
      <c r="Q170" s="1"/>
      <c r="R170" s="1"/>
      <c r="S170" s="1"/>
      <c r="T170" s="1"/>
      <c r="U170" s="4"/>
      <c r="V170" s="4"/>
      <c r="W170" s="4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4"/>
      <c r="L171" s="1"/>
      <c r="M171" s="1"/>
      <c r="N171" s="1"/>
      <c r="O171" s="1"/>
      <c r="P171" s="1"/>
      <c r="Q171" s="1"/>
      <c r="R171" s="1"/>
      <c r="S171" s="1"/>
      <c r="T171" s="1"/>
      <c r="U171" s="4"/>
      <c r="V171" s="4"/>
      <c r="W171" s="4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4"/>
      <c r="L172" s="1"/>
      <c r="M172" s="1"/>
      <c r="N172" s="1"/>
      <c r="O172" s="1"/>
      <c r="P172" s="1"/>
      <c r="Q172" s="1"/>
      <c r="R172" s="1"/>
      <c r="S172" s="1"/>
      <c r="T172" s="1"/>
      <c r="U172" s="4"/>
      <c r="V172" s="4"/>
      <c r="W172" s="4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4"/>
      <c r="L173" s="1"/>
      <c r="M173" s="1"/>
      <c r="N173" s="1"/>
      <c r="O173" s="1"/>
      <c r="P173" s="1"/>
      <c r="Q173" s="1"/>
      <c r="R173" s="1"/>
      <c r="S173" s="1"/>
      <c r="T173" s="1"/>
      <c r="U173" s="4"/>
      <c r="V173" s="4"/>
      <c r="W173" s="4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4"/>
      <c r="L174" s="1"/>
      <c r="M174" s="1"/>
      <c r="N174" s="1"/>
      <c r="O174" s="1"/>
      <c r="P174" s="1"/>
      <c r="Q174" s="1"/>
      <c r="R174" s="1"/>
      <c r="S174" s="1"/>
      <c r="T174" s="1"/>
      <c r="U174" s="4"/>
      <c r="V174" s="4"/>
      <c r="W174" s="4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4"/>
      <c r="L175" s="1"/>
      <c r="M175" s="1"/>
      <c r="N175" s="1"/>
      <c r="O175" s="1"/>
      <c r="P175" s="1"/>
      <c r="Q175" s="1"/>
      <c r="R175" s="1"/>
      <c r="S175" s="1"/>
      <c r="T175" s="1"/>
      <c r="U175" s="4"/>
      <c r="V175" s="4"/>
      <c r="W175" s="4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4"/>
      <c r="L176" s="1"/>
      <c r="M176" s="1"/>
      <c r="N176" s="1"/>
      <c r="O176" s="1"/>
      <c r="P176" s="1"/>
      <c r="Q176" s="1"/>
      <c r="R176" s="1"/>
      <c r="S176" s="1"/>
      <c r="T176" s="1"/>
      <c r="U176" s="4"/>
      <c r="V176" s="4"/>
      <c r="W176" s="4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4"/>
      <c r="L177" s="1"/>
      <c r="M177" s="1"/>
      <c r="N177" s="1"/>
      <c r="O177" s="1"/>
      <c r="P177" s="1"/>
      <c r="Q177" s="1"/>
      <c r="R177" s="1"/>
      <c r="S177" s="1"/>
      <c r="T177" s="1"/>
      <c r="U177" s="4"/>
      <c r="V177" s="4"/>
      <c r="W177" s="4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4"/>
      <c r="L178" s="1"/>
      <c r="M178" s="1"/>
      <c r="N178" s="1"/>
      <c r="O178" s="1"/>
      <c r="P178" s="1"/>
      <c r="Q178" s="1"/>
      <c r="R178" s="1"/>
      <c r="S178" s="1"/>
      <c r="T178" s="1"/>
      <c r="U178" s="4"/>
      <c r="V178" s="4"/>
      <c r="W178" s="4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4"/>
      <c r="L179" s="1"/>
      <c r="M179" s="1"/>
      <c r="N179" s="1"/>
      <c r="O179" s="1"/>
      <c r="P179" s="1"/>
      <c r="Q179" s="1"/>
      <c r="R179" s="1"/>
      <c r="S179" s="1"/>
      <c r="T179" s="1"/>
      <c r="U179" s="4"/>
      <c r="V179" s="4"/>
      <c r="W179" s="4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4"/>
      <c r="L180" s="1"/>
      <c r="M180" s="1"/>
      <c r="N180" s="1"/>
      <c r="O180" s="1"/>
      <c r="P180" s="1"/>
      <c r="Q180" s="1"/>
      <c r="R180" s="1"/>
      <c r="S180" s="1"/>
      <c r="T180" s="1"/>
      <c r="U180" s="4"/>
      <c r="V180" s="4"/>
      <c r="W180" s="4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4"/>
      <c r="L181" s="1"/>
      <c r="M181" s="1"/>
      <c r="N181" s="1"/>
      <c r="O181" s="1"/>
      <c r="P181" s="1"/>
      <c r="Q181" s="1"/>
      <c r="R181" s="1"/>
      <c r="S181" s="1"/>
      <c r="T181" s="1"/>
      <c r="U181" s="4"/>
      <c r="V181" s="4"/>
      <c r="W181" s="4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4"/>
      <c r="L182" s="1"/>
      <c r="M182" s="1"/>
      <c r="N182" s="1"/>
      <c r="O182" s="1"/>
      <c r="P182" s="1"/>
      <c r="Q182" s="1"/>
      <c r="R182" s="1"/>
      <c r="S182" s="1"/>
      <c r="T182" s="1"/>
      <c r="U182" s="4"/>
      <c r="V182" s="4"/>
      <c r="W182" s="4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4"/>
      <c r="L183" s="1"/>
      <c r="M183" s="1"/>
      <c r="N183" s="1"/>
      <c r="O183" s="1"/>
      <c r="P183" s="1"/>
      <c r="Q183" s="1"/>
      <c r="R183" s="1"/>
      <c r="S183" s="1"/>
      <c r="T183" s="1"/>
      <c r="U183" s="4"/>
      <c r="V183" s="4"/>
      <c r="W183" s="4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4"/>
      <c r="L184" s="1"/>
      <c r="M184" s="1"/>
      <c r="N184" s="1"/>
      <c r="O184" s="1"/>
      <c r="P184" s="1"/>
      <c r="Q184" s="1"/>
      <c r="R184" s="1"/>
      <c r="S184" s="1"/>
      <c r="T184" s="1"/>
      <c r="U184" s="4"/>
      <c r="V184" s="4"/>
      <c r="W184" s="4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4"/>
      <c r="L185" s="1"/>
      <c r="M185" s="1"/>
      <c r="N185" s="1"/>
      <c r="O185" s="1"/>
      <c r="P185" s="1"/>
      <c r="Q185" s="1"/>
      <c r="R185" s="1"/>
      <c r="S185" s="1"/>
      <c r="T185" s="1"/>
      <c r="U185" s="4"/>
      <c r="V185" s="4"/>
      <c r="W185" s="4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4"/>
      <c r="L186" s="1"/>
      <c r="M186" s="1"/>
      <c r="N186" s="1"/>
      <c r="O186" s="1"/>
      <c r="P186" s="1"/>
      <c r="Q186" s="1"/>
      <c r="R186" s="1"/>
      <c r="S186" s="1"/>
      <c r="T186" s="1"/>
      <c r="U186" s="4"/>
      <c r="V186" s="4"/>
      <c r="W186" s="4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4"/>
      <c r="L187" s="1"/>
      <c r="M187" s="1"/>
      <c r="N187" s="1"/>
      <c r="O187" s="1"/>
      <c r="P187" s="1"/>
      <c r="Q187" s="1"/>
      <c r="R187" s="1"/>
      <c r="S187" s="1"/>
      <c r="T187" s="1"/>
      <c r="U187" s="4"/>
      <c r="V187" s="4"/>
      <c r="W187" s="4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4"/>
      <c r="L188" s="1"/>
      <c r="M188" s="1"/>
      <c r="N188" s="1"/>
      <c r="O188" s="1"/>
      <c r="P188" s="1"/>
      <c r="Q188" s="1"/>
      <c r="R188" s="1"/>
      <c r="S188" s="1"/>
      <c r="T188" s="1"/>
      <c r="U188" s="4"/>
      <c r="V188" s="4"/>
      <c r="W188" s="4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4"/>
      <c r="L189" s="1"/>
      <c r="M189" s="1"/>
      <c r="N189" s="1"/>
      <c r="O189" s="1"/>
      <c r="P189" s="1"/>
      <c r="Q189" s="1"/>
      <c r="R189" s="1"/>
      <c r="S189" s="1"/>
      <c r="T189" s="1"/>
      <c r="U189" s="4"/>
      <c r="V189" s="4"/>
      <c r="W189" s="4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4"/>
      <c r="L190" s="1"/>
      <c r="M190" s="1"/>
      <c r="N190" s="1"/>
      <c r="O190" s="1"/>
      <c r="P190" s="1"/>
      <c r="Q190" s="1"/>
      <c r="R190" s="1"/>
      <c r="S190" s="1"/>
      <c r="T190" s="1"/>
      <c r="U190" s="4"/>
      <c r="V190" s="4"/>
      <c r="W190" s="4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4"/>
      <c r="L191" s="1"/>
      <c r="M191" s="1"/>
      <c r="N191" s="1"/>
      <c r="O191" s="1"/>
      <c r="P191" s="1"/>
      <c r="Q191" s="1"/>
      <c r="R191" s="1"/>
      <c r="S191" s="1"/>
      <c r="T191" s="1"/>
      <c r="U191" s="4"/>
      <c r="V191" s="4"/>
      <c r="W191" s="4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4"/>
      <c r="L192" s="1"/>
      <c r="M192" s="1"/>
      <c r="N192" s="1"/>
      <c r="O192" s="1"/>
      <c r="P192" s="1"/>
      <c r="Q192" s="1"/>
      <c r="R192" s="1"/>
      <c r="S192" s="1"/>
      <c r="T192" s="1"/>
      <c r="U192" s="4"/>
      <c r="V192" s="4"/>
      <c r="W192" s="4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4"/>
      <c r="L193" s="1"/>
      <c r="M193" s="1"/>
      <c r="N193" s="1"/>
      <c r="O193" s="1"/>
      <c r="P193" s="1"/>
      <c r="Q193" s="1"/>
      <c r="R193" s="1"/>
      <c r="S193" s="1"/>
      <c r="T193" s="1"/>
      <c r="U193" s="4"/>
      <c r="V193" s="4"/>
      <c r="W193" s="4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4"/>
      <c r="L194" s="1"/>
      <c r="M194" s="1"/>
      <c r="N194" s="1"/>
      <c r="O194" s="1"/>
      <c r="P194" s="1"/>
      <c r="Q194" s="1"/>
      <c r="R194" s="1"/>
      <c r="S194" s="1"/>
      <c r="T194" s="1"/>
      <c r="U194" s="4"/>
      <c r="V194" s="4"/>
      <c r="W194" s="4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4"/>
      <c r="L195" s="1"/>
      <c r="M195" s="1"/>
      <c r="N195" s="1"/>
      <c r="O195" s="1"/>
      <c r="P195" s="1"/>
      <c r="Q195" s="1"/>
      <c r="R195" s="1"/>
      <c r="S195" s="1"/>
      <c r="T195" s="1"/>
      <c r="U195" s="4"/>
      <c r="V195" s="4"/>
      <c r="W195" s="4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4"/>
      <c r="L196" s="1"/>
      <c r="M196" s="1"/>
      <c r="N196" s="1"/>
      <c r="O196" s="1"/>
      <c r="P196" s="1"/>
      <c r="Q196" s="1"/>
      <c r="R196" s="1"/>
      <c r="S196" s="1"/>
      <c r="T196" s="1"/>
      <c r="U196" s="4"/>
      <c r="V196" s="4"/>
      <c r="W196" s="4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4"/>
      <c r="L197" s="1"/>
      <c r="M197" s="1"/>
      <c r="N197" s="1"/>
      <c r="O197" s="1"/>
      <c r="P197" s="1"/>
      <c r="Q197" s="1"/>
      <c r="R197" s="1"/>
      <c r="S197" s="1"/>
      <c r="T197" s="1"/>
      <c r="U197" s="4"/>
      <c r="V197" s="4"/>
      <c r="W197" s="4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4"/>
      <c r="L198" s="1"/>
      <c r="M198" s="1"/>
      <c r="N198" s="1"/>
      <c r="O198" s="1"/>
      <c r="P198" s="1"/>
      <c r="Q198" s="1"/>
      <c r="R198" s="1"/>
      <c r="S198" s="1"/>
      <c r="T198" s="1"/>
      <c r="U198" s="4"/>
      <c r="V198" s="4"/>
      <c r="W198" s="4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4"/>
      <c r="L199" s="1"/>
      <c r="M199" s="1"/>
      <c r="N199" s="1"/>
      <c r="O199" s="1"/>
      <c r="P199" s="1"/>
      <c r="Q199" s="1"/>
      <c r="R199" s="1"/>
      <c r="S199" s="1"/>
      <c r="T199" s="1"/>
      <c r="U199" s="4"/>
      <c r="V199" s="4"/>
      <c r="W199" s="4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4"/>
      <c r="L200" s="1"/>
      <c r="M200" s="1"/>
      <c r="N200" s="1"/>
      <c r="O200" s="1"/>
      <c r="P200" s="1"/>
      <c r="Q200" s="1"/>
      <c r="R200" s="1"/>
      <c r="S200" s="1"/>
      <c r="T200" s="1"/>
      <c r="U200" s="4"/>
      <c r="V200" s="4"/>
      <c r="W200" s="4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4"/>
      <c r="L201" s="1"/>
      <c r="M201" s="1"/>
      <c r="N201" s="1"/>
      <c r="O201" s="1"/>
      <c r="P201" s="1"/>
      <c r="Q201" s="1"/>
      <c r="R201" s="1"/>
      <c r="S201" s="1"/>
      <c r="T201" s="1"/>
      <c r="U201" s="4"/>
      <c r="V201" s="4"/>
      <c r="W201" s="4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4"/>
      <c r="L202" s="1"/>
      <c r="M202" s="1"/>
      <c r="N202" s="1"/>
      <c r="O202" s="1"/>
      <c r="P202" s="1"/>
      <c r="Q202" s="1"/>
      <c r="R202" s="1"/>
      <c r="S202" s="1"/>
      <c r="T202" s="1"/>
      <c r="U202" s="4"/>
      <c r="V202" s="4"/>
      <c r="W202" s="4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4"/>
      <c r="L203" s="1"/>
      <c r="M203" s="1"/>
      <c r="N203" s="1"/>
      <c r="O203" s="1"/>
      <c r="P203" s="1"/>
      <c r="Q203" s="1"/>
      <c r="R203" s="1"/>
      <c r="S203" s="1"/>
      <c r="T203" s="1"/>
      <c r="U203" s="4"/>
      <c r="V203" s="4"/>
      <c r="W203" s="4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4"/>
      <c r="L204" s="1"/>
      <c r="M204" s="1"/>
      <c r="N204" s="1"/>
      <c r="O204" s="1"/>
      <c r="P204" s="1"/>
      <c r="Q204" s="1"/>
      <c r="R204" s="1"/>
      <c r="S204" s="1"/>
      <c r="T204" s="1"/>
      <c r="U204" s="4"/>
      <c r="V204" s="4"/>
      <c r="W204" s="4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4"/>
      <c r="L205" s="1"/>
      <c r="M205" s="1"/>
      <c r="N205" s="1"/>
      <c r="O205" s="1"/>
      <c r="P205" s="1"/>
      <c r="Q205" s="1"/>
      <c r="R205" s="1"/>
      <c r="S205" s="1"/>
      <c r="T205" s="1"/>
      <c r="U205" s="4"/>
      <c r="V205" s="4"/>
      <c r="W205" s="4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4"/>
      <c r="L206" s="1"/>
      <c r="M206" s="1"/>
      <c r="N206" s="1"/>
      <c r="O206" s="1"/>
      <c r="P206" s="1"/>
      <c r="Q206" s="1"/>
      <c r="R206" s="1"/>
      <c r="S206" s="1"/>
      <c r="T206" s="1"/>
      <c r="U206" s="4"/>
      <c r="V206" s="4"/>
      <c r="W206" s="4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4"/>
      <c r="L207" s="1"/>
      <c r="M207" s="1"/>
      <c r="N207" s="1"/>
      <c r="O207" s="1"/>
      <c r="P207" s="1"/>
      <c r="Q207" s="1"/>
      <c r="R207" s="1"/>
      <c r="S207" s="1"/>
      <c r="T207" s="1"/>
      <c r="U207" s="4"/>
      <c r="V207" s="4"/>
      <c r="W207" s="4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4"/>
      <c r="L208" s="1"/>
      <c r="M208" s="1"/>
      <c r="N208" s="1"/>
      <c r="O208" s="1"/>
      <c r="P208" s="1"/>
      <c r="Q208" s="1"/>
      <c r="R208" s="1"/>
      <c r="S208" s="1"/>
      <c r="T208" s="1"/>
      <c r="U208" s="4"/>
      <c r="V208" s="4"/>
      <c r="W208" s="4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4"/>
      <c r="L209" s="1"/>
      <c r="M209" s="1"/>
      <c r="N209" s="1"/>
      <c r="O209" s="1"/>
      <c r="P209" s="1"/>
      <c r="Q209" s="1"/>
      <c r="R209" s="1"/>
      <c r="S209" s="1"/>
      <c r="T209" s="1"/>
      <c r="U209" s="4"/>
      <c r="V209" s="4"/>
      <c r="W209" s="4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4"/>
      <c r="L210" s="1"/>
      <c r="M210" s="1"/>
      <c r="N210" s="1"/>
      <c r="O210" s="1"/>
      <c r="P210" s="1"/>
      <c r="Q210" s="1"/>
      <c r="R210" s="1"/>
      <c r="S210" s="1"/>
      <c r="T210" s="1"/>
      <c r="U210" s="4"/>
      <c r="V210" s="4"/>
      <c r="W210" s="4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4"/>
      <c r="L211" s="1"/>
      <c r="M211" s="1"/>
      <c r="N211" s="1"/>
      <c r="O211" s="1"/>
      <c r="P211" s="1"/>
      <c r="Q211" s="1"/>
      <c r="R211" s="1"/>
      <c r="S211" s="1"/>
      <c r="T211" s="1"/>
      <c r="U211" s="4"/>
      <c r="V211" s="4"/>
      <c r="W211" s="4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4"/>
      <c r="L212" s="1"/>
      <c r="M212" s="1"/>
      <c r="N212" s="1"/>
      <c r="O212" s="1"/>
      <c r="P212" s="1"/>
      <c r="Q212" s="1"/>
      <c r="R212" s="1"/>
      <c r="S212" s="1"/>
      <c r="T212" s="1"/>
      <c r="U212" s="4"/>
      <c r="V212" s="4"/>
      <c r="W212" s="4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4"/>
      <c r="L213" s="1"/>
      <c r="M213" s="1"/>
      <c r="N213" s="1"/>
      <c r="O213" s="1"/>
      <c r="P213" s="1"/>
      <c r="Q213" s="1"/>
      <c r="R213" s="1"/>
      <c r="S213" s="1"/>
      <c r="T213" s="1"/>
      <c r="U213" s="4"/>
      <c r="V213" s="4"/>
      <c r="W213" s="4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4"/>
      <c r="L214" s="1"/>
      <c r="M214" s="1"/>
      <c r="N214" s="1"/>
      <c r="O214" s="1"/>
      <c r="P214" s="1"/>
      <c r="Q214" s="1"/>
      <c r="R214" s="1"/>
      <c r="S214" s="1"/>
      <c r="T214" s="1"/>
      <c r="U214" s="4"/>
      <c r="V214" s="4"/>
      <c r="W214" s="4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4"/>
      <c r="L215" s="1"/>
      <c r="M215" s="1"/>
      <c r="N215" s="1"/>
      <c r="O215" s="1"/>
      <c r="P215" s="1"/>
      <c r="Q215" s="1"/>
      <c r="R215" s="1"/>
      <c r="S215" s="1"/>
      <c r="T215" s="1"/>
      <c r="U215" s="4"/>
      <c r="V215" s="4"/>
      <c r="W215" s="4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4"/>
      <c r="L216" s="1"/>
      <c r="M216" s="1"/>
      <c r="N216" s="1"/>
      <c r="O216" s="1"/>
      <c r="P216" s="1"/>
      <c r="Q216" s="1"/>
      <c r="R216" s="1"/>
      <c r="S216" s="1"/>
      <c r="T216" s="1"/>
      <c r="U216" s="4"/>
      <c r="V216" s="4"/>
      <c r="W216" s="4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4"/>
      <c r="L217" s="1"/>
      <c r="M217" s="1"/>
      <c r="N217" s="1"/>
      <c r="O217" s="1"/>
      <c r="P217" s="1"/>
      <c r="Q217" s="1"/>
      <c r="R217" s="1"/>
      <c r="S217" s="1"/>
      <c r="T217" s="1"/>
      <c r="U217" s="4"/>
      <c r="V217" s="4"/>
      <c r="W217" s="4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4"/>
      <c r="L218" s="1"/>
      <c r="M218" s="1"/>
      <c r="N218" s="1"/>
      <c r="O218" s="1"/>
      <c r="P218" s="1"/>
      <c r="Q218" s="1"/>
      <c r="R218" s="1"/>
      <c r="S218" s="1"/>
      <c r="T218" s="1"/>
      <c r="U218" s="4"/>
      <c r="V218" s="4"/>
      <c r="W218" s="4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4"/>
      <c r="L219" s="1"/>
      <c r="M219" s="1"/>
      <c r="N219" s="1"/>
      <c r="O219" s="1"/>
      <c r="P219" s="1"/>
      <c r="Q219" s="1"/>
      <c r="R219" s="1"/>
      <c r="S219" s="1"/>
      <c r="T219" s="1"/>
      <c r="U219" s="4"/>
      <c r="V219" s="4"/>
      <c r="W219" s="4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4"/>
      <c r="L220" s="1"/>
      <c r="M220" s="1"/>
      <c r="N220" s="1"/>
      <c r="O220" s="1"/>
      <c r="P220" s="1"/>
      <c r="Q220" s="1"/>
      <c r="R220" s="1"/>
      <c r="S220" s="1"/>
      <c r="T220" s="1"/>
      <c r="U220" s="4"/>
      <c r="V220" s="4"/>
      <c r="W220" s="4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4"/>
      <c r="L221" s="1"/>
      <c r="M221" s="1"/>
      <c r="N221" s="1"/>
      <c r="O221" s="1"/>
      <c r="P221" s="1"/>
      <c r="Q221" s="1"/>
      <c r="R221" s="1"/>
      <c r="S221" s="1"/>
      <c r="T221" s="1"/>
      <c r="U221" s="4"/>
      <c r="V221" s="4"/>
      <c r="W221" s="4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4"/>
      <c r="L222" s="1"/>
      <c r="M222" s="1"/>
      <c r="N222" s="1"/>
      <c r="O222" s="1"/>
      <c r="P222" s="1"/>
      <c r="Q222" s="1"/>
      <c r="R222" s="1"/>
      <c r="S222" s="1"/>
      <c r="T222" s="1"/>
      <c r="U222" s="4"/>
      <c r="V222" s="4"/>
      <c r="W222" s="4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4"/>
      <c r="L223" s="1"/>
      <c r="M223" s="1"/>
      <c r="N223" s="1"/>
      <c r="O223" s="1"/>
      <c r="P223" s="1"/>
      <c r="Q223" s="1"/>
      <c r="R223" s="1"/>
      <c r="S223" s="1"/>
      <c r="T223" s="1"/>
      <c r="U223" s="4"/>
      <c r="V223" s="4"/>
      <c r="W223" s="4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4"/>
      <c r="L224" s="1"/>
      <c r="M224" s="1"/>
      <c r="N224" s="1"/>
      <c r="O224" s="1"/>
      <c r="P224" s="1"/>
      <c r="Q224" s="1"/>
      <c r="R224" s="1"/>
      <c r="S224" s="1"/>
      <c r="T224" s="1"/>
      <c r="U224" s="4"/>
      <c r="V224" s="4"/>
      <c r="W224" s="4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4"/>
      <c r="L225" s="1"/>
      <c r="M225" s="1"/>
      <c r="N225" s="1"/>
      <c r="O225" s="1"/>
      <c r="P225" s="1"/>
      <c r="Q225" s="1"/>
      <c r="R225" s="1"/>
      <c r="S225" s="1"/>
      <c r="T225" s="1"/>
      <c r="U225" s="4"/>
      <c r="V225" s="4"/>
      <c r="W225" s="4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4"/>
      <c r="L226" s="1"/>
      <c r="M226" s="1"/>
      <c r="N226" s="1"/>
      <c r="O226" s="1"/>
      <c r="P226" s="1"/>
      <c r="Q226" s="1"/>
      <c r="R226" s="1"/>
      <c r="S226" s="1"/>
      <c r="T226" s="1"/>
      <c r="U226" s="4"/>
      <c r="V226" s="4"/>
      <c r="W226" s="4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4"/>
      <c r="L227" s="1"/>
      <c r="M227" s="1"/>
      <c r="N227" s="1"/>
      <c r="O227" s="1"/>
      <c r="P227" s="1"/>
      <c r="Q227" s="1"/>
      <c r="R227" s="1"/>
      <c r="S227" s="1"/>
      <c r="T227" s="1"/>
      <c r="U227" s="4"/>
      <c r="V227" s="4"/>
      <c r="W227" s="4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4"/>
      <c r="L228" s="1"/>
      <c r="M228" s="1"/>
      <c r="N228" s="1"/>
      <c r="O228" s="1"/>
      <c r="P228" s="1"/>
      <c r="Q228" s="1"/>
      <c r="R228" s="1"/>
      <c r="S228" s="1"/>
      <c r="T228" s="1"/>
      <c r="U228" s="4"/>
      <c r="V228" s="4"/>
      <c r="W228" s="4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4"/>
      <c r="L229" s="1"/>
      <c r="M229" s="1"/>
      <c r="N229" s="1"/>
      <c r="O229" s="1"/>
      <c r="P229" s="1"/>
      <c r="Q229" s="1"/>
      <c r="R229" s="1"/>
      <c r="S229" s="1"/>
      <c r="T229" s="1"/>
      <c r="U229" s="4"/>
      <c r="V229" s="4"/>
      <c r="W229" s="4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4"/>
      <c r="L230" s="1"/>
      <c r="M230" s="1"/>
      <c r="N230" s="1"/>
      <c r="O230" s="1"/>
      <c r="P230" s="1"/>
      <c r="Q230" s="1"/>
      <c r="R230" s="1"/>
      <c r="S230" s="1"/>
      <c r="T230" s="1"/>
      <c r="U230" s="4"/>
      <c r="V230" s="4"/>
      <c r="W230" s="4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4"/>
      <c r="L231" s="1"/>
      <c r="M231" s="1"/>
      <c r="N231" s="1"/>
      <c r="O231" s="1"/>
      <c r="P231" s="1"/>
      <c r="Q231" s="1"/>
      <c r="R231" s="1"/>
      <c r="S231" s="1"/>
      <c r="T231" s="1"/>
      <c r="U231" s="4"/>
      <c r="V231" s="4"/>
      <c r="W231" s="4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4"/>
      <c r="L232" s="1"/>
      <c r="M232" s="1"/>
      <c r="N232" s="1"/>
      <c r="O232" s="1"/>
      <c r="P232" s="1"/>
      <c r="Q232" s="1"/>
      <c r="R232" s="1"/>
      <c r="S232" s="1"/>
      <c r="T232" s="1"/>
      <c r="U232" s="4"/>
      <c r="V232" s="4"/>
      <c r="W232" s="4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4"/>
      <c r="L233" s="1"/>
      <c r="M233" s="1"/>
      <c r="N233" s="1"/>
      <c r="O233" s="1"/>
      <c r="P233" s="1"/>
      <c r="Q233" s="1"/>
      <c r="R233" s="1"/>
      <c r="S233" s="1"/>
      <c r="T233" s="1"/>
      <c r="U233" s="4"/>
      <c r="V233" s="4"/>
      <c r="W233" s="4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4"/>
      <c r="L234" s="1"/>
      <c r="M234" s="1"/>
      <c r="N234" s="1"/>
      <c r="O234" s="1"/>
      <c r="P234" s="1"/>
      <c r="Q234" s="1"/>
      <c r="R234" s="1"/>
      <c r="S234" s="1"/>
      <c r="T234" s="1"/>
      <c r="U234" s="4"/>
      <c r="V234" s="4"/>
      <c r="W234" s="4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4"/>
      <c r="L235" s="1"/>
      <c r="M235" s="1"/>
      <c r="N235" s="1"/>
      <c r="O235" s="1"/>
      <c r="P235" s="1"/>
      <c r="Q235" s="1"/>
      <c r="R235" s="1"/>
      <c r="S235" s="1"/>
      <c r="T235" s="1"/>
      <c r="U235" s="4"/>
      <c r="V235" s="4"/>
      <c r="W235" s="4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4"/>
      <c r="L236" s="1"/>
      <c r="M236" s="1"/>
      <c r="N236" s="1"/>
      <c r="O236" s="1"/>
      <c r="P236" s="1"/>
      <c r="Q236" s="1"/>
      <c r="R236" s="1"/>
      <c r="S236" s="1"/>
      <c r="T236" s="1"/>
      <c r="U236" s="4"/>
      <c r="V236" s="4"/>
      <c r="W236" s="4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4"/>
      <c r="L237" s="1"/>
      <c r="M237" s="1"/>
      <c r="N237" s="1"/>
      <c r="O237" s="1"/>
      <c r="P237" s="1"/>
      <c r="Q237" s="1"/>
      <c r="R237" s="1"/>
      <c r="S237" s="1"/>
      <c r="T237" s="1"/>
      <c r="U237" s="4"/>
      <c r="V237" s="4"/>
      <c r="W237" s="4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4"/>
      <c r="L238" s="1"/>
      <c r="M238" s="1"/>
      <c r="N238" s="1"/>
      <c r="O238" s="1"/>
      <c r="P238" s="1"/>
      <c r="Q238" s="1"/>
      <c r="R238" s="1"/>
      <c r="S238" s="1"/>
      <c r="T238" s="1"/>
      <c r="U238" s="4"/>
      <c r="V238" s="4"/>
      <c r="W238" s="4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4"/>
      <c r="L239" s="1"/>
      <c r="M239" s="1"/>
      <c r="N239" s="1"/>
      <c r="O239" s="1"/>
      <c r="P239" s="1"/>
      <c r="Q239" s="1"/>
      <c r="R239" s="1"/>
      <c r="S239" s="1"/>
      <c r="T239" s="1"/>
      <c r="U239" s="4"/>
      <c r="V239" s="4"/>
      <c r="W239" s="4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4"/>
      <c r="L240" s="1"/>
      <c r="M240" s="1"/>
      <c r="N240" s="1"/>
      <c r="O240" s="1"/>
      <c r="P240" s="1"/>
      <c r="Q240" s="1"/>
      <c r="R240" s="1"/>
      <c r="S240" s="1"/>
      <c r="T240" s="1"/>
      <c r="U240" s="4"/>
      <c r="V240" s="4"/>
      <c r="W240" s="4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4"/>
      <c r="L241" s="1"/>
      <c r="M241" s="1"/>
      <c r="N241" s="1"/>
      <c r="O241" s="1"/>
      <c r="P241" s="1"/>
      <c r="Q241" s="1"/>
      <c r="R241" s="1"/>
      <c r="S241" s="1"/>
      <c r="T241" s="1"/>
      <c r="U241" s="4"/>
      <c r="V241" s="4"/>
      <c r="W241" s="4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4"/>
      <c r="L242" s="1"/>
      <c r="M242" s="1"/>
      <c r="N242" s="1"/>
      <c r="O242" s="1"/>
      <c r="P242" s="1"/>
      <c r="Q242" s="1"/>
      <c r="R242" s="1"/>
      <c r="S242" s="1"/>
      <c r="T242" s="1"/>
      <c r="U242" s="4"/>
      <c r="V242" s="4"/>
      <c r="W242" s="4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4"/>
      <c r="L243" s="1"/>
      <c r="M243" s="1"/>
      <c r="N243" s="1"/>
      <c r="O243" s="1"/>
      <c r="P243" s="1"/>
      <c r="Q243" s="1"/>
      <c r="R243" s="1"/>
      <c r="S243" s="1"/>
      <c r="T243" s="1"/>
      <c r="U243" s="4"/>
      <c r="V243" s="4"/>
      <c r="W243" s="4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4"/>
      <c r="L244" s="1"/>
      <c r="M244" s="1"/>
      <c r="N244" s="1"/>
      <c r="O244" s="1"/>
      <c r="P244" s="1"/>
      <c r="Q244" s="1"/>
      <c r="R244" s="1"/>
      <c r="S244" s="1"/>
      <c r="T244" s="1"/>
      <c r="U244" s="4"/>
      <c r="V244" s="4"/>
      <c r="W244" s="4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4"/>
      <c r="L245" s="1"/>
      <c r="M245" s="1"/>
      <c r="N245" s="1"/>
      <c r="O245" s="1"/>
      <c r="P245" s="1"/>
      <c r="Q245" s="1"/>
      <c r="R245" s="1"/>
      <c r="S245" s="1"/>
      <c r="T245" s="1"/>
      <c r="U245" s="4"/>
      <c r="V245" s="4"/>
      <c r="W245" s="4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4"/>
      <c r="L246" s="1"/>
      <c r="M246" s="1"/>
      <c r="N246" s="1"/>
      <c r="O246" s="1"/>
      <c r="P246" s="1"/>
      <c r="Q246" s="1"/>
      <c r="R246" s="1"/>
      <c r="S246" s="1"/>
      <c r="T246" s="1"/>
      <c r="U246" s="4"/>
      <c r="V246" s="4"/>
      <c r="W246" s="4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4"/>
      <c r="L247" s="1"/>
      <c r="M247" s="1"/>
      <c r="N247" s="1"/>
      <c r="O247" s="1"/>
      <c r="P247" s="1"/>
      <c r="Q247" s="1"/>
      <c r="R247" s="1"/>
      <c r="S247" s="1"/>
      <c r="T247" s="1"/>
      <c r="U247" s="4"/>
      <c r="V247" s="4"/>
      <c r="W247" s="4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4"/>
      <c r="L248" s="1"/>
      <c r="M248" s="1"/>
      <c r="N248" s="1"/>
      <c r="O248" s="1"/>
      <c r="P248" s="1"/>
      <c r="Q248" s="1"/>
      <c r="R248" s="1"/>
      <c r="S248" s="1"/>
      <c r="T248" s="1"/>
      <c r="U248" s="4"/>
      <c r="V248" s="4"/>
      <c r="W248" s="4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4"/>
      <c r="L249" s="1"/>
      <c r="M249" s="1"/>
      <c r="N249" s="1"/>
      <c r="O249" s="1"/>
      <c r="P249" s="1"/>
      <c r="Q249" s="1"/>
      <c r="R249" s="1"/>
      <c r="S249" s="1"/>
      <c r="T249" s="1"/>
      <c r="U249" s="4"/>
      <c r="V249" s="4"/>
      <c r="W249" s="4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4"/>
      <c r="L250" s="1"/>
      <c r="M250" s="1"/>
      <c r="N250" s="1"/>
      <c r="O250" s="1"/>
      <c r="P250" s="1"/>
      <c r="Q250" s="1"/>
      <c r="R250" s="1"/>
      <c r="S250" s="1"/>
      <c r="T250" s="1"/>
      <c r="U250" s="4"/>
      <c r="V250" s="4"/>
      <c r="W250" s="4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4"/>
      <c r="L251" s="1"/>
      <c r="M251" s="1"/>
      <c r="N251" s="1"/>
      <c r="O251" s="1"/>
      <c r="P251" s="1"/>
      <c r="Q251" s="1"/>
      <c r="R251" s="1"/>
      <c r="S251" s="1"/>
      <c r="T251" s="1"/>
      <c r="U251" s="4"/>
      <c r="V251" s="4"/>
      <c r="W251" s="4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4"/>
      <c r="L252" s="1"/>
      <c r="M252" s="1"/>
      <c r="N252" s="1"/>
      <c r="O252" s="1"/>
      <c r="P252" s="1"/>
      <c r="Q252" s="1"/>
      <c r="R252" s="1"/>
      <c r="S252" s="1"/>
      <c r="T252" s="1"/>
      <c r="U252" s="4"/>
      <c r="V252" s="4"/>
      <c r="W252" s="4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4"/>
      <c r="L253" s="1"/>
      <c r="M253" s="1"/>
      <c r="N253" s="1"/>
      <c r="O253" s="1"/>
      <c r="P253" s="1"/>
      <c r="Q253" s="1"/>
      <c r="R253" s="1"/>
      <c r="S253" s="1"/>
      <c r="T253" s="1"/>
      <c r="U253" s="4"/>
      <c r="V253" s="4"/>
      <c r="W253" s="4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4"/>
      <c r="L254" s="1"/>
      <c r="M254" s="1"/>
      <c r="N254" s="1"/>
      <c r="O254" s="1"/>
      <c r="P254" s="1"/>
      <c r="Q254" s="1"/>
      <c r="R254" s="1"/>
      <c r="S254" s="1"/>
      <c r="T254" s="1"/>
      <c r="U254" s="4"/>
      <c r="V254" s="4"/>
      <c r="W254" s="4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4"/>
      <c r="L255" s="1"/>
      <c r="M255" s="1"/>
      <c r="N255" s="1"/>
      <c r="O255" s="1"/>
      <c r="P255" s="1"/>
      <c r="Q255" s="1"/>
      <c r="R255" s="1"/>
      <c r="S255" s="1"/>
      <c r="T255" s="1"/>
      <c r="U255" s="4"/>
      <c r="V255" s="4"/>
      <c r="W255" s="4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4"/>
      <c r="L256" s="1"/>
      <c r="M256" s="1"/>
      <c r="N256" s="1"/>
      <c r="O256" s="1"/>
      <c r="P256" s="1"/>
      <c r="Q256" s="1"/>
      <c r="R256" s="1"/>
      <c r="S256" s="1"/>
      <c r="T256" s="1"/>
      <c r="U256" s="4"/>
      <c r="V256" s="4"/>
      <c r="W256" s="4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4"/>
      <c r="L257" s="1"/>
      <c r="M257" s="1"/>
      <c r="N257" s="1"/>
      <c r="O257" s="1"/>
      <c r="P257" s="1"/>
      <c r="Q257" s="1"/>
      <c r="R257" s="1"/>
      <c r="S257" s="1"/>
      <c r="T257" s="1"/>
      <c r="U257" s="4"/>
      <c r="V257" s="4"/>
      <c r="W257" s="4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4"/>
      <c r="L258" s="1"/>
      <c r="M258" s="1"/>
      <c r="N258" s="1"/>
      <c r="O258" s="1"/>
      <c r="P258" s="1"/>
      <c r="Q258" s="1"/>
      <c r="R258" s="1"/>
      <c r="S258" s="1"/>
      <c r="T258" s="1"/>
      <c r="U258" s="4"/>
      <c r="V258" s="4"/>
      <c r="W258" s="4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4"/>
      <c r="L259" s="1"/>
      <c r="M259" s="1"/>
      <c r="N259" s="1"/>
      <c r="O259" s="1"/>
      <c r="P259" s="1"/>
      <c r="Q259" s="1"/>
      <c r="R259" s="1"/>
      <c r="S259" s="1"/>
      <c r="T259" s="1"/>
      <c r="U259" s="4"/>
      <c r="V259" s="4"/>
      <c r="W259" s="4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4"/>
      <c r="L260" s="1"/>
      <c r="M260" s="1"/>
      <c r="N260" s="1"/>
      <c r="O260" s="1"/>
      <c r="P260" s="1"/>
      <c r="Q260" s="1"/>
      <c r="R260" s="1"/>
      <c r="S260" s="1"/>
      <c r="T260" s="1"/>
      <c r="U260" s="4"/>
      <c r="V260" s="4"/>
      <c r="W260" s="4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4"/>
      <c r="L261" s="1"/>
      <c r="M261" s="1"/>
      <c r="N261" s="1"/>
      <c r="O261" s="1"/>
      <c r="P261" s="1"/>
      <c r="Q261" s="1"/>
      <c r="R261" s="1"/>
      <c r="S261" s="1"/>
      <c r="T261" s="1"/>
      <c r="U261" s="4"/>
      <c r="V261" s="4"/>
      <c r="W261" s="4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4"/>
      <c r="L262" s="1"/>
      <c r="M262" s="1"/>
      <c r="N262" s="1"/>
      <c r="O262" s="1"/>
      <c r="P262" s="1"/>
      <c r="Q262" s="1"/>
      <c r="R262" s="1"/>
      <c r="S262" s="1"/>
      <c r="T262" s="1"/>
      <c r="U262" s="4"/>
      <c r="V262" s="4"/>
      <c r="W262" s="4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4"/>
      <c r="L263" s="1"/>
      <c r="M263" s="1"/>
      <c r="N263" s="1"/>
      <c r="O263" s="1"/>
      <c r="P263" s="1"/>
      <c r="Q263" s="1"/>
      <c r="R263" s="1"/>
      <c r="S263" s="1"/>
      <c r="T263" s="1"/>
      <c r="U263" s="4"/>
      <c r="V263" s="4"/>
      <c r="W263" s="4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4"/>
      <c r="L264" s="1"/>
      <c r="M264" s="1"/>
      <c r="N264" s="1"/>
      <c r="O264" s="1"/>
      <c r="P264" s="1"/>
      <c r="Q264" s="1"/>
      <c r="R264" s="1"/>
      <c r="S264" s="1"/>
      <c r="T264" s="1"/>
      <c r="U264" s="4"/>
      <c r="V264" s="4"/>
      <c r="W264" s="4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4"/>
      <c r="L265" s="1"/>
      <c r="M265" s="1"/>
      <c r="N265" s="1"/>
      <c r="O265" s="1"/>
      <c r="P265" s="1"/>
      <c r="Q265" s="1"/>
      <c r="R265" s="1"/>
      <c r="S265" s="1"/>
      <c r="T265" s="1"/>
      <c r="U265" s="4"/>
      <c r="V265" s="4"/>
      <c r="W265" s="4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4"/>
      <c r="L266" s="1"/>
      <c r="M266" s="1"/>
      <c r="N266" s="1"/>
      <c r="O266" s="1"/>
      <c r="P266" s="1"/>
      <c r="Q266" s="1"/>
      <c r="R266" s="1"/>
      <c r="S266" s="1"/>
      <c r="T266" s="1"/>
      <c r="U266" s="4"/>
      <c r="V266" s="4"/>
      <c r="W266" s="4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4"/>
      <c r="L267" s="1"/>
      <c r="M267" s="1"/>
      <c r="N267" s="1"/>
      <c r="O267" s="1"/>
      <c r="P267" s="1"/>
      <c r="Q267" s="1"/>
      <c r="R267" s="1"/>
      <c r="S267" s="1"/>
      <c r="T267" s="1"/>
      <c r="U267" s="4"/>
      <c r="V267" s="4"/>
      <c r="W267" s="4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4"/>
      <c r="L268" s="1"/>
      <c r="M268" s="1"/>
      <c r="N268" s="1"/>
      <c r="O268" s="1"/>
      <c r="P268" s="1"/>
      <c r="Q268" s="1"/>
      <c r="R268" s="1"/>
      <c r="S268" s="1"/>
      <c r="T268" s="1"/>
      <c r="U268" s="4"/>
      <c r="V268" s="4"/>
      <c r="W268" s="4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4"/>
      <c r="L269" s="1"/>
      <c r="M269" s="1"/>
      <c r="N269" s="1"/>
      <c r="O269" s="1"/>
      <c r="P269" s="1"/>
      <c r="Q269" s="1"/>
      <c r="R269" s="1"/>
      <c r="S269" s="1"/>
      <c r="T269" s="1"/>
      <c r="U269" s="4"/>
      <c r="V269" s="4"/>
      <c r="W269" s="4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4"/>
      <c r="L270" s="1"/>
      <c r="M270" s="1"/>
      <c r="N270" s="1"/>
      <c r="O270" s="1"/>
      <c r="P270" s="1"/>
      <c r="Q270" s="1"/>
      <c r="R270" s="1"/>
      <c r="S270" s="1"/>
      <c r="T270" s="1"/>
      <c r="U270" s="4"/>
      <c r="V270" s="4"/>
      <c r="W270" s="4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4"/>
      <c r="L271" s="1"/>
      <c r="M271" s="1"/>
      <c r="N271" s="1"/>
      <c r="O271" s="1"/>
      <c r="P271" s="1"/>
      <c r="Q271" s="1"/>
      <c r="R271" s="1"/>
      <c r="S271" s="1"/>
      <c r="T271" s="1"/>
      <c r="U271" s="4"/>
      <c r="V271" s="4"/>
      <c r="W271" s="4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4"/>
      <c r="L272" s="1"/>
      <c r="M272" s="1"/>
      <c r="N272" s="1"/>
      <c r="O272" s="1"/>
      <c r="P272" s="1"/>
      <c r="Q272" s="1"/>
      <c r="R272" s="1"/>
      <c r="S272" s="1"/>
      <c r="T272" s="1"/>
      <c r="U272" s="4"/>
      <c r="V272" s="4"/>
      <c r="W272" s="4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4"/>
      <c r="L273" s="1"/>
      <c r="M273" s="1"/>
      <c r="N273" s="1"/>
      <c r="O273" s="1"/>
      <c r="P273" s="1"/>
      <c r="Q273" s="1"/>
      <c r="R273" s="1"/>
      <c r="S273" s="1"/>
      <c r="T273" s="1"/>
      <c r="U273" s="4"/>
      <c r="V273" s="4"/>
      <c r="W273" s="4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4"/>
      <c r="L274" s="1"/>
      <c r="M274" s="1"/>
      <c r="N274" s="1"/>
      <c r="O274" s="1"/>
      <c r="P274" s="1"/>
      <c r="Q274" s="1"/>
      <c r="R274" s="1"/>
      <c r="S274" s="1"/>
      <c r="T274" s="1"/>
      <c r="U274" s="4"/>
      <c r="V274" s="4"/>
      <c r="W274" s="4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/>
    <row r="276" spans="1:32" ht="15.75" customHeight="1"/>
    <row r="277" spans="1:32" ht="15.75" customHeight="1"/>
    <row r="278" spans="1:32" ht="15.75" customHeight="1"/>
    <row r="279" spans="1:32" ht="15.75" customHeight="1"/>
    <row r="280" spans="1:32" ht="15.75" customHeight="1"/>
    <row r="281" spans="1:32" ht="15.75" customHeight="1"/>
    <row r="282" spans="1:32" ht="15.75" customHeight="1"/>
    <row r="283" spans="1:32" ht="15.75" customHeight="1"/>
    <row r="284" spans="1:32" ht="15.75" customHeight="1"/>
    <row r="285" spans="1:32" ht="15.75" customHeight="1"/>
    <row r="286" spans="1:32" ht="15.75" customHeight="1"/>
    <row r="287" spans="1:32" ht="15.75" customHeight="1"/>
    <row r="288" spans="1:32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F43:Q43"/>
    <mergeCell ref="F44:H44"/>
    <mergeCell ref="N40:O40"/>
    <mergeCell ref="P40:Q40"/>
    <mergeCell ref="H41:J41"/>
    <mergeCell ref="N41:O41"/>
    <mergeCell ref="P41:Q41"/>
    <mergeCell ref="I44:K44"/>
    <mergeCell ref="L44:Q44"/>
    <mergeCell ref="S19:V19"/>
    <mergeCell ref="L15:M15"/>
    <mergeCell ref="N15:O15"/>
    <mergeCell ref="P15:Q15"/>
    <mergeCell ref="F17:Q17"/>
    <mergeCell ref="F18:H18"/>
    <mergeCell ref="I18:K18"/>
    <mergeCell ref="L18:Q18"/>
    <mergeCell ref="N12:O12"/>
    <mergeCell ref="P12:Q12"/>
    <mergeCell ref="L19:M19"/>
    <mergeCell ref="N19:O19"/>
    <mergeCell ref="P19:Q19"/>
    <mergeCell ref="L12:M12"/>
    <mergeCell ref="L13:M13"/>
    <mergeCell ref="N13:O13"/>
    <mergeCell ref="P13:Q13"/>
    <mergeCell ref="L14:M14"/>
    <mergeCell ref="N14:O14"/>
    <mergeCell ref="P14:Q14"/>
    <mergeCell ref="L10:M10"/>
    <mergeCell ref="N10:O10"/>
    <mergeCell ref="P10:Q10"/>
    <mergeCell ref="L11:M11"/>
    <mergeCell ref="N11:O11"/>
    <mergeCell ref="P11:Q11"/>
    <mergeCell ref="J7:K8"/>
    <mergeCell ref="L7:M8"/>
    <mergeCell ref="N7:O8"/>
    <mergeCell ref="P7:Q8"/>
    <mergeCell ref="F9:Q9"/>
    <mergeCell ref="F1:G1"/>
    <mergeCell ref="N2:Q2"/>
    <mergeCell ref="G3:P3"/>
    <mergeCell ref="F4:Q4"/>
    <mergeCell ref="L5:M6"/>
    <mergeCell ref="N5:O6"/>
    <mergeCell ref="P5:Q6"/>
    <mergeCell ref="J5:K6"/>
    <mergeCell ref="P84:Q84"/>
    <mergeCell ref="H78:I78"/>
    <mergeCell ref="H79:I79"/>
    <mergeCell ref="J79:K79"/>
    <mergeCell ref="H80:I80"/>
    <mergeCell ref="J80:K80"/>
    <mergeCell ref="H81:I81"/>
    <mergeCell ref="J81:K81"/>
    <mergeCell ref="H82:I82"/>
    <mergeCell ref="J82:K82"/>
    <mergeCell ref="H83:I83"/>
    <mergeCell ref="J83:K83"/>
    <mergeCell ref="N84:O84"/>
    <mergeCell ref="P73:Q73"/>
    <mergeCell ref="P74:Q74"/>
    <mergeCell ref="L78:M78"/>
    <mergeCell ref="N78:O78"/>
    <mergeCell ref="N73:O73"/>
    <mergeCell ref="N74:O74"/>
    <mergeCell ref="F76:Q76"/>
    <mergeCell ref="F77:K77"/>
    <mergeCell ref="L77:Q77"/>
    <mergeCell ref="J78:K78"/>
    <mergeCell ref="P78:Q78"/>
    <mergeCell ref="L67:M67"/>
    <mergeCell ref="N67:O67"/>
    <mergeCell ref="P67:Q67"/>
    <mergeCell ref="H52:J52"/>
    <mergeCell ref="F54:Q54"/>
    <mergeCell ref="F55:H55"/>
    <mergeCell ref="I55:K55"/>
    <mergeCell ref="L55:Q55"/>
    <mergeCell ref="L56:M56"/>
    <mergeCell ref="N56:O56"/>
    <mergeCell ref="N52:O52"/>
    <mergeCell ref="N62:O62"/>
    <mergeCell ref="P62:Q62"/>
    <mergeCell ref="N63:O63"/>
    <mergeCell ref="P63:Q63"/>
    <mergeCell ref="P56:Q56"/>
    <mergeCell ref="F65:Q65"/>
    <mergeCell ref="F66:H66"/>
    <mergeCell ref="I66:K66"/>
    <mergeCell ref="L66:Q66"/>
    <mergeCell ref="L45:M45"/>
    <mergeCell ref="N45:O45"/>
    <mergeCell ref="P45:Q45"/>
    <mergeCell ref="P51:Q51"/>
    <mergeCell ref="P52:Q52"/>
    <mergeCell ref="N51:O51"/>
  </mergeCells>
  <conditionalFormatting sqref="G5">
    <cfRule type="expression" dxfId="346" priority="1">
      <formula>IF(TODAY()&gt;=G5+355,1,0)</formula>
    </cfRule>
  </conditionalFormatting>
  <conditionalFormatting sqref="G22:G42 G45:G53 G56:G64 G67:G71">
    <cfRule type="expression" dxfId="345" priority="2">
      <formula>IF(M22:M71="DEV",1,IF(M22:M71="no pago",1,0))</formula>
    </cfRule>
  </conditionalFormatting>
  <conditionalFormatting sqref="I22:I40 I42 I44:I51 I53 I55:I64 I66:I71">
    <cfRule type="expression" dxfId="344" priority="3">
      <formula>IF(O22:O71="DEV",1,IF(O22:O71="no pago",1,0))</formula>
    </cfRule>
  </conditionalFormatting>
  <conditionalFormatting sqref="J22:J40 J42 J45:J51 J53 J56:J64 J67:J71">
    <cfRule type="expression" dxfId="343" priority="4">
      <formula>IF(Q22:Q71="DEV",1,IF(Q22:Q71="no pago",1,0))</formula>
    </cfRule>
  </conditionalFormatting>
  <conditionalFormatting sqref="M20:M38">
    <cfRule type="cellIs" dxfId="342" priority="5" operator="lessThan">
      <formula>G20:G28</formula>
    </cfRule>
  </conditionalFormatting>
  <conditionalFormatting sqref="M46:M49 M68:M71">
    <cfRule type="cellIs" dxfId="341" priority="6" operator="lessThan">
      <formula>G46:G49</formula>
    </cfRule>
  </conditionalFormatting>
  <conditionalFormatting sqref="M57:M60">
    <cfRule type="cellIs" dxfId="340" priority="7" operator="lessThan">
      <formula>G57:G60</formula>
    </cfRule>
  </conditionalFormatting>
  <conditionalFormatting sqref="M68:M71">
    <cfRule type="cellIs" dxfId="339" priority="8" operator="lessThan">
      <formula>G68:G71</formula>
    </cfRule>
  </conditionalFormatting>
  <conditionalFormatting sqref="L20:Q39 L46:Q49 L57:Q60 L68:Q71">
    <cfRule type="cellIs" dxfId="338" priority="9" operator="between">
      <formula>TODAY()-20</formula>
      <formula>TODAY()</formula>
    </cfRule>
  </conditionalFormatting>
  <conditionalFormatting sqref="M20:M38 M46:M49 M57:M60 M68:M71 M80:M82 O20:O38 O46:O49 O57:O60 O68:O71 Q20:Q38 Q46:Q49 Q57:Q60 Q68:Q71">
    <cfRule type="cellIs" dxfId="337" priority="10" operator="equal">
      <formula>"DEV"</formula>
    </cfRule>
  </conditionalFormatting>
  <conditionalFormatting sqref="M20:M38 M46:M49 M57:M60 M68:M71 M80:M82 O20:O38 O46:O49 O57:O60 O68:O71 Q20:Q38 Q46:Q49 Q57:Q60 Q68:Q71">
    <cfRule type="cellIs" dxfId="336" priority="11" operator="equal">
      <formula>"no pago"</formula>
    </cfRule>
  </conditionalFormatting>
  <conditionalFormatting sqref="D1:F2 G2">
    <cfRule type="expression" dxfId="335" priority="12">
      <formula>$G$1="NO"</formula>
    </cfRule>
  </conditionalFormatting>
  <conditionalFormatting sqref="D1:F2 G2">
    <cfRule type="expression" dxfId="334" priority="13">
      <formula>$G$1="SI"</formula>
    </cfRule>
  </conditionalFormatting>
  <conditionalFormatting sqref="H1">
    <cfRule type="expression" dxfId="333" priority="14">
      <formula>$G$1="NO"</formula>
    </cfRule>
  </conditionalFormatting>
  <conditionalFormatting sqref="H1">
    <cfRule type="expression" dxfId="332" priority="15">
      <formula>$G$1="SI"</formula>
    </cfRule>
  </conditionalFormatting>
  <conditionalFormatting sqref="P7:Q8">
    <cfRule type="cellIs" dxfId="331" priority="16" operator="equal">
      <formula>"PARALIZADA"</formula>
    </cfRule>
  </conditionalFormatting>
  <conditionalFormatting sqref="P7:Q8">
    <cfRule type="cellIs" dxfId="330" priority="17" operator="equal">
      <formula>"EN EJECUCIÓN"</formula>
    </cfRule>
  </conditionalFormatting>
  <conditionalFormatting sqref="P7:Q8">
    <cfRule type="cellIs" dxfId="329" priority="18" operator="equal">
      <formula>"TERMINADA"</formula>
    </cfRule>
  </conditionalFormatting>
  <conditionalFormatting sqref="P7:Q8">
    <cfRule type="cellIs" dxfId="328" priority="19" operator="equal">
      <formula>"COMPLETADA"</formula>
    </cfRule>
  </conditionalFormatting>
  <hyperlinks>
    <hyperlink ref="Q1" location="null!A1" display="&lt; VOLVER" xr:uid="{00000000-0004-0000-0A00-000000000000}"/>
    <hyperlink ref="S3" location="null!A1" display="'BASE DATOS'!A1" xr:uid="{00000000-0004-0000-0A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12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85" t="s">
        <v>69</v>
      </c>
      <c r="E5" s="90"/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76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1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268">
        <f>28477.26+595972.73</f>
        <v>624449.99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10248424.58</v>
      </c>
      <c r="H13" s="22">
        <f>K51</f>
        <v>624449.99</v>
      </c>
      <c r="I13" s="203">
        <f>L40+N40+L51+N51</f>
        <v>6405230.9500000002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54</v>
      </c>
      <c r="K20" s="219" t="s">
        <v>54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>
        <v>43612</v>
      </c>
      <c r="K21" s="227">
        <v>2120051.61</v>
      </c>
      <c r="L21" s="228" t="s">
        <v>77</v>
      </c>
      <c r="M21" s="229" t="s">
        <v>77</v>
      </c>
      <c r="N21" s="230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>
        <v>414922.07</v>
      </c>
      <c r="H22" s="233">
        <v>52873.75</v>
      </c>
      <c r="I22" s="234">
        <f t="shared" si="3"/>
        <v>467795.82</v>
      </c>
      <c r="J22" s="218">
        <v>43629</v>
      </c>
      <c r="K22" s="252">
        <v>1131457.67</v>
      </c>
      <c r="L22" s="236">
        <v>43872</v>
      </c>
      <c r="M22" s="237">
        <v>414922.07</v>
      </c>
      <c r="N22" s="238">
        <v>44160</v>
      </c>
      <c r="O22" s="43">
        <v>52873.75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0">EOMONTH(F22,1)</f>
        <v>#REF!</v>
      </c>
      <c r="G23" s="232" t="e">
        <f t="shared" ref="G23:G25" si="11">HLOOKUP($O$3,#REF!,63+D23,0)</f>
        <v>#REF!</v>
      </c>
      <c r="H23" s="233">
        <v>266665.15999999997</v>
      </c>
      <c r="I23" s="234" t="e">
        <f t="shared" si="3"/>
        <v>#REF!</v>
      </c>
      <c r="J23" s="218">
        <v>43690</v>
      </c>
      <c r="K23" s="235">
        <v>2343707.77</v>
      </c>
      <c r="L23" s="236">
        <v>43853</v>
      </c>
      <c r="M23" s="237">
        <v>772832.93</v>
      </c>
      <c r="N23" s="238">
        <v>44160</v>
      </c>
      <c r="O23" s="43">
        <v>266665.15999999997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0"/>
        <v>#REF!</v>
      </c>
      <c r="G24" s="232" t="e">
        <f t="shared" si="11"/>
        <v>#REF!</v>
      </c>
      <c r="H24" s="233">
        <v>931326.35</v>
      </c>
      <c r="I24" s="234" t="e">
        <f t="shared" si="3"/>
        <v>#REF!</v>
      </c>
      <c r="J24" s="218">
        <v>43763</v>
      </c>
      <c r="K24" s="235">
        <v>3192049.16</v>
      </c>
      <c r="L24" s="236">
        <v>43957</v>
      </c>
      <c r="M24" s="237">
        <v>941291.72</v>
      </c>
      <c r="N24" s="238">
        <v>44160</v>
      </c>
      <c r="O24" s="43">
        <v>931326.35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0"/>
        <v>#REF!</v>
      </c>
      <c r="G25" s="232" t="e">
        <f t="shared" si="11"/>
        <v>#REF!</v>
      </c>
      <c r="H25" s="233">
        <v>804334.44</v>
      </c>
      <c r="I25" s="234" t="e">
        <f t="shared" si="3"/>
        <v>#REF!</v>
      </c>
      <c r="J25" s="218">
        <v>43819</v>
      </c>
      <c r="K25" s="235">
        <v>2241216.89</v>
      </c>
      <c r="L25" s="236">
        <v>43935</v>
      </c>
      <c r="M25" s="237">
        <v>681334.91</v>
      </c>
      <c r="N25" s="238">
        <v>44181</v>
      </c>
      <c r="O25" s="43">
        <v>804334.44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0"/>
        <v>#REF!</v>
      </c>
      <c r="G26" s="232">
        <v>85061.19</v>
      </c>
      <c r="H26" s="233">
        <v>54682.19</v>
      </c>
      <c r="I26" s="234">
        <f t="shared" si="3"/>
        <v>139743.38</v>
      </c>
      <c r="J26" s="218">
        <v>43819</v>
      </c>
      <c r="K26" s="235">
        <v>202526.64</v>
      </c>
      <c r="L26" s="236">
        <v>43987</v>
      </c>
      <c r="M26" s="237">
        <v>85061.19</v>
      </c>
      <c r="N26" s="238">
        <v>44167</v>
      </c>
      <c r="O26" s="43">
        <v>54682.19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0"/>
        <v>#REF!</v>
      </c>
      <c r="G27" s="232">
        <v>707491.93</v>
      </c>
      <c r="H27" s="239">
        <v>432606.89</v>
      </c>
      <c r="I27" s="234">
        <f t="shared" si="3"/>
        <v>1140098.82</v>
      </c>
      <c r="J27" s="218">
        <v>43826</v>
      </c>
      <c r="K27" s="235">
        <v>1137466.45</v>
      </c>
      <c r="L27" s="240">
        <v>43991</v>
      </c>
      <c r="M27" s="237">
        <v>707491.93</v>
      </c>
      <c r="N27" s="241">
        <v>44186</v>
      </c>
      <c r="O27" s="43">
        <v>432606.89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0"/>
        <v>#REF!</v>
      </c>
      <c r="G28" s="232" t="e">
        <f t="shared" ref="G28:G38" si="12">HLOOKUP($O$3,#REF!,63+D28,0)</f>
        <v>#REF!</v>
      </c>
      <c r="H28" s="239" t="e">
        <f t="shared" ref="H28:H38" si="13">HLOOKUP($O$3,#REF!,84+D28,0)</f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0"/>
        <v>#REF!</v>
      </c>
      <c r="G29" s="232" t="e">
        <f t="shared" si="12"/>
        <v>#REF!</v>
      </c>
      <c r="H29" s="239" t="e">
        <f t="shared" si="13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0"/>
        <v>#REF!</v>
      </c>
      <c r="G30" s="232" t="e">
        <f t="shared" si="12"/>
        <v>#REF!</v>
      </c>
      <c r="H30" s="239" t="e">
        <f t="shared" si="13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0"/>
        <v>#REF!</v>
      </c>
      <c r="G31" s="232" t="e">
        <f t="shared" si="12"/>
        <v>#REF!</v>
      </c>
      <c r="H31" s="239" t="e">
        <f t="shared" si="13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0"/>
        <v>#REF!</v>
      </c>
      <c r="G32" s="232" t="e">
        <f t="shared" si="12"/>
        <v>#REF!</v>
      </c>
      <c r="H32" s="239" t="e">
        <f t="shared" si="13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0"/>
        <v>#REF!</v>
      </c>
      <c r="G33" s="232" t="e">
        <f t="shared" si="12"/>
        <v>#REF!</v>
      </c>
      <c r="H33" s="239" t="e">
        <f t="shared" si="13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0"/>
        <v>#REF!</v>
      </c>
      <c r="G34" s="232" t="e">
        <f t="shared" si="12"/>
        <v>#REF!</v>
      </c>
      <c r="H34" s="239" t="e">
        <f t="shared" si="13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0"/>
        <v>#REF!</v>
      </c>
      <c r="G35" s="232" t="e">
        <f t="shared" si="12"/>
        <v>#REF!</v>
      </c>
      <c r="H35" s="239" t="e">
        <f t="shared" si="13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7"/>
        <v>#REF!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0"/>
        <v>#REF!</v>
      </c>
      <c r="G36" s="232" t="e">
        <f t="shared" si="12"/>
        <v>#REF!</v>
      </c>
      <c r="H36" s="239" t="e">
        <f t="shared" si="13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7"/>
        <v>#REF!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88" t="e">
        <f t="shared" si="10"/>
        <v>#REF!</v>
      </c>
      <c r="G37" s="232" t="e">
        <f t="shared" si="12"/>
        <v>#REF!</v>
      </c>
      <c r="H37" s="239" t="e">
        <f t="shared" si="13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7"/>
        <v>#REF!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0"/>
        <v>#REF!</v>
      </c>
      <c r="G38" s="232" t="e">
        <f t="shared" si="12"/>
        <v>#REF!</v>
      </c>
      <c r="H38" s="239" t="e">
        <f t="shared" si="13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7"/>
        <v>#REF!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4">SUM(G20:G38)</f>
        <v>#REF!</v>
      </c>
      <c r="H40" s="49" t="e">
        <f t="shared" si="14"/>
        <v>#REF!</v>
      </c>
      <c r="I40" s="50" t="e">
        <f t="shared" si="14"/>
        <v>#REF!</v>
      </c>
      <c r="J40" s="51" t="s">
        <v>29</v>
      </c>
      <c r="K40" s="52">
        <f>SUM(K22:K39)</f>
        <v>10248424.58</v>
      </c>
      <c r="L40" s="312">
        <f>SUM(M20:M38)</f>
        <v>3602934.75</v>
      </c>
      <c r="M40" s="376"/>
      <c r="N40" s="310">
        <f>SUM(O20:O38)</f>
        <v>2542488.7800000003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5">SUM(S22:S40)</f>
        <v>0</v>
      </c>
      <c r="T41" s="4" t="e">
        <f t="shared" si="15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31">
        <v>28477.26</v>
      </c>
      <c r="F46" s="68"/>
      <c r="G46" s="267">
        <v>14238.77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>
        <v>44133</v>
      </c>
      <c r="K46" s="235">
        <v>28477.26</v>
      </c>
      <c r="L46" s="236">
        <v>44160</v>
      </c>
      <c r="M46" s="237">
        <v>14238.77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>
        <v>595972.73</v>
      </c>
      <c r="F47" s="69"/>
      <c r="G47" s="232">
        <v>245568.65</v>
      </c>
      <c r="H47" s="239" t="e">
        <f t="shared" si="16"/>
        <v>#REF!</v>
      </c>
      <c r="I47" s="234" t="e">
        <f t="shared" si="17"/>
        <v>#REF!</v>
      </c>
      <c r="J47" s="218">
        <v>44148</v>
      </c>
      <c r="K47" s="235">
        <v>595972.73</v>
      </c>
      <c r="L47" s="240">
        <v>44201</v>
      </c>
      <c r="M47" s="237">
        <v>245568.65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ref="E48:E49" si="18">HLOOKUP($O$3,#REF!,116+D48,0)</f>
        <v>#REF!</v>
      </c>
      <c r="F48" s="69"/>
      <c r="G48" s="232" t="e">
        <f t="shared" ref="G48:G49" si="19">HLOOKUP($O$3,#REF!,121+D48,0)</f>
        <v>#REF!</v>
      </c>
      <c r="H48" s="239" t="e">
        <f t="shared" si="16"/>
        <v>#REF!</v>
      </c>
      <c r="I48" s="234" t="e">
        <f t="shared" si="17"/>
        <v>#REF!</v>
      </c>
      <c r="J48" s="218" t="s">
        <v>77</v>
      </c>
      <c r="K48" s="235" t="s">
        <v>77</v>
      </c>
      <c r="L48" s="240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8"/>
        <v>#REF!</v>
      </c>
      <c r="F49" s="69"/>
      <c r="G49" s="232" t="e">
        <f t="shared" si="19"/>
        <v>#REF!</v>
      </c>
      <c r="H49" s="239" t="e">
        <f t="shared" si="16"/>
        <v>#REF!</v>
      </c>
      <c r="I49" s="234" t="e">
        <f t="shared" si="17"/>
        <v>#REF!</v>
      </c>
      <c r="J49" s="218" t="s">
        <v>77</v>
      </c>
      <c r="K49" s="235" t="s">
        <v>77</v>
      </c>
      <c r="L49" s="240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0">SUM(G46:G50)</f>
        <v>#REF!</v>
      </c>
      <c r="H51" s="49" t="e">
        <f t="shared" si="20"/>
        <v>#REF!</v>
      </c>
      <c r="I51" s="50" t="e">
        <f t="shared" si="20"/>
        <v>#REF!</v>
      </c>
      <c r="J51" s="51" t="s">
        <v>29</v>
      </c>
      <c r="K51" s="52">
        <f>SUM(K46:K50)</f>
        <v>624449.99</v>
      </c>
      <c r="L51" s="312">
        <f>SUM(M46:M50)</f>
        <v>259807.41999999998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/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ref="E59:E60" si="21">HLOOKUP($O$3,#REF!,131+D59,0)</f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1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2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2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2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2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N7">
    <cfRule type="cellIs" dxfId="327" priority="1" operator="equal">
      <formula>"EN EJECUCIÓN"</formula>
    </cfRule>
  </conditionalFormatting>
  <conditionalFormatting sqref="E5">
    <cfRule type="expression" dxfId="326" priority="2">
      <formula>IF(TODAY()&gt;=E5+355,1,0)</formula>
    </cfRule>
  </conditionalFormatting>
  <conditionalFormatting sqref="E22:E39 E46:E50 E57:E61 E68:E72">
    <cfRule type="expression" dxfId="325" priority="3">
      <formula>IF(K22:K72="DEV",1,IF(K22:K71="no pago",1,0))</formula>
    </cfRule>
  </conditionalFormatting>
  <conditionalFormatting sqref="G22:G39 G46:G50 G57:G61 G68:G72">
    <cfRule type="expression" dxfId="324" priority="4">
      <formula>IF(M22:M72="DEV",1,IF(M22:M72="no pago",1,0))</formula>
    </cfRule>
  </conditionalFormatting>
  <conditionalFormatting sqref="H22:H40 H42 H45:H51 H53 H56:H64 H67:H71">
    <cfRule type="expression" dxfId="323" priority="5">
      <formula>IF(O22:O71="DEV",1,IF(O22:O71="no pago",1,0))</formula>
    </cfRule>
  </conditionalFormatting>
  <conditionalFormatting sqref="K20:K38">
    <cfRule type="cellIs" dxfId="322" priority="6" operator="lessThan">
      <formula>E20:E28</formula>
    </cfRule>
  </conditionalFormatting>
  <conditionalFormatting sqref="K46:K49 K68:K71">
    <cfRule type="cellIs" dxfId="321" priority="7" operator="lessThan">
      <formula>E46:E49</formula>
    </cfRule>
  </conditionalFormatting>
  <conditionalFormatting sqref="K57:K60">
    <cfRule type="cellIs" dxfId="320" priority="8" operator="lessThan">
      <formula>E57:E60</formula>
    </cfRule>
  </conditionalFormatting>
  <conditionalFormatting sqref="K68:K71">
    <cfRule type="cellIs" dxfId="319" priority="9" operator="lessThan">
      <formula>E68:E71</formula>
    </cfRule>
  </conditionalFormatting>
  <conditionalFormatting sqref="J22:J39 J46:J50 J57:J61 J68:J72 L22:L39 L46:L50 L57:L61 L68:L72 N22:N39 N46:N50 N57:N61 N68:N72">
    <cfRule type="cellIs" dxfId="318" priority="10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317" priority="11" operator="equal">
      <formula>"DEV"</formula>
    </cfRule>
  </conditionalFormatting>
  <conditionalFormatting sqref="K20:K38 K46:K49 K57:K60 K68:K71 K80:K82 M20:M38 M46:M49 M57:M60 M68:M71 O20:O38 O46:O49 O57:O60 O68:O71">
    <cfRule type="cellIs" dxfId="316" priority="12" operator="equal">
      <formula>"no pago"</formula>
    </cfRule>
  </conditionalFormatting>
  <conditionalFormatting sqref="B1:D1 B2:E2">
    <cfRule type="expression" dxfId="315" priority="13">
      <formula>$E$1="NO"</formula>
    </cfRule>
  </conditionalFormatting>
  <conditionalFormatting sqref="B1:D1 B2:E2">
    <cfRule type="expression" dxfId="314" priority="14">
      <formula>$E$1="SI"</formula>
    </cfRule>
  </conditionalFormatting>
  <conditionalFormatting sqref="F1">
    <cfRule type="expression" dxfId="313" priority="15">
      <formula>$E$1="NO"</formula>
    </cfRule>
  </conditionalFormatting>
  <conditionalFormatting sqref="F1">
    <cfRule type="expression" dxfId="312" priority="16">
      <formula>$E$1="SI"</formula>
    </cfRule>
  </conditionalFormatting>
  <conditionalFormatting sqref="N7:O8">
    <cfRule type="cellIs" dxfId="311" priority="17" operator="equal">
      <formula>"PARALIZADA"</formula>
    </cfRule>
  </conditionalFormatting>
  <conditionalFormatting sqref="N7:O8">
    <cfRule type="cellIs" dxfId="310" priority="18" operator="equal">
      <formula>"TERMINADA"</formula>
    </cfRule>
  </conditionalFormatting>
  <conditionalFormatting sqref="N7:O8">
    <cfRule type="cellIs" dxfId="309" priority="19" operator="equal">
      <formula>"COMPLETADA"</formula>
    </cfRule>
  </conditionalFormatting>
  <hyperlinks>
    <hyperlink ref="O1" location="null!A1" display="&lt; VOLVER" xr:uid="{00000000-0004-0000-0B00-000000000000}"/>
    <hyperlink ref="Q3" location="null!A1" display="'BASE DATOS'!A1" xr:uid="{00000000-0004-0000-0B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.5703125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7.855468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13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85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 t="e">
        <f>+G11*0.15</f>
        <v>#REF!</v>
      </c>
      <c r="C11" s="3"/>
      <c r="D11" s="199" t="s">
        <v>27</v>
      </c>
      <c r="E11" s="19">
        <v>4276262.5379999997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I12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 t="e">
        <f>+B11*0.33</f>
        <v>#REF!</v>
      </c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>
        <f>E51</f>
        <v>2990778.78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28508416.920000002</v>
      </c>
      <c r="H13" s="22">
        <f>K51</f>
        <v>2990778.78</v>
      </c>
      <c r="I13" s="203">
        <f>L40+N40+L51+N51</f>
        <v>6863618.9900000002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06">
        <f t="shared" si="1"/>
        <v>0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54">
        <f>E41</f>
        <v>0</v>
      </c>
      <c r="H15" s="116" t="e">
        <f>IF((H11-H12)&lt;-1,H11-H12,IF((H11-H12)&lt;1,0,H11-H12))</f>
        <v>#REF!</v>
      </c>
      <c r="I15" s="117">
        <f>223566.656712029</f>
        <v>223566.65671202901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G11*0.15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>
        <v>42782</v>
      </c>
      <c r="K20" s="219">
        <v>4276262.5379999997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54</v>
      </c>
      <c r="K21" s="227" t="s">
        <v>54</v>
      </c>
      <c r="L21" s="228" t="s">
        <v>77</v>
      </c>
      <c r="M21" s="229" t="s">
        <v>77</v>
      </c>
      <c r="N21" s="230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>
        <v>64234.09</v>
      </c>
      <c r="H22" s="233" t="e">
        <f t="shared" ref="H22:H38" si="7">HLOOKUP($O$3,#REF!,84+D22,0)</f>
        <v>#REF!</v>
      </c>
      <c r="I22" s="234" t="e">
        <f t="shared" si="3"/>
        <v>#REF!</v>
      </c>
      <c r="J22" s="218">
        <v>42877</v>
      </c>
      <c r="K22" s="252">
        <v>558243.65</v>
      </c>
      <c r="L22" s="236">
        <v>43630</v>
      </c>
      <c r="M22" s="237">
        <v>64234.09</v>
      </c>
      <c r="N22" s="238" t="s">
        <v>77</v>
      </c>
      <c r="O22" s="43" t="s">
        <v>77</v>
      </c>
      <c r="P22" s="1"/>
      <c r="Q22" s="44" t="e">
        <f t="shared" ref="Q22:Q38" si="8">IF(E22=0,,I22/E22)</f>
        <v>#REF!</v>
      </c>
      <c r="R22" s="1"/>
      <c r="S22" s="4">
        <f t="shared" ref="S22:S38" si="9">IF(O22="sin certificar",(E22*$Q$39)-I22,0)</f>
        <v>0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1">EOMONTH(F22,1)</f>
        <v>#REF!</v>
      </c>
      <c r="G23" s="232">
        <v>148834.64000000001</v>
      </c>
      <c r="H23" s="233" t="e">
        <f t="shared" si="7"/>
        <v>#REF!</v>
      </c>
      <c r="I23" s="234" t="e">
        <f t="shared" si="3"/>
        <v>#REF!</v>
      </c>
      <c r="J23" s="218">
        <v>42895</v>
      </c>
      <c r="K23" s="235">
        <v>1249320.81</v>
      </c>
      <c r="L23" s="236">
        <v>43630</v>
      </c>
      <c r="M23" s="237">
        <v>148834.64000000001</v>
      </c>
      <c r="N23" s="238" t="s">
        <v>77</v>
      </c>
      <c r="O23" s="43" t="s">
        <v>77</v>
      </c>
      <c r="P23" s="1"/>
      <c r="Q23" s="44" t="e">
        <f t="shared" si="8"/>
        <v>#REF!</v>
      </c>
      <c r="R23" s="1"/>
      <c r="S23" s="4">
        <f t="shared" si="9"/>
        <v>0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1"/>
        <v>#REF!</v>
      </c>
      <c r="G24" s="232">
        <v>213815.08</v>
      </c>
      <c r="H24" s="233" t="e">
        <f t="shared" si="7"/>
        <v>#REF!</v>
      </c>
      <c r="I24" s="234" t="e">
        <f t="shared" si="3"/>
        <v>#REF!</v>
      </c>
      <c r="J24" s="218">
        <v>42936</v>
      </c>
      <c r="K24" s="235">
        <v>1741703.84</v>
      </c>
      <c r="L24" s="236">
        <v>43630</v>
      </c>
      <c r="M24" s="237">
        <v>213815.08</v>
      </c>
      <c r="N24" s="238" t="s">
        <v>77</v>
      </c>
      <c r="O24" s="43" t="s">
        <v>77</v>
      </c>
      <c r="P24" s="1"/>
      <c r="Q24" s="44" t="e">
        <f t="shared" si="8"/>
        <v>#REF!</v>
      </c>
      <c r="R24" s="1"/>
      <c r="S24" s="4">
        <f t="shared" si="9"/>
        <v>0</v>
      </c>
      <c r="T24" s="4" t="e">
        <f t="shared" si="10"/>
        <v>#REF!</v>
      </c>
      <c r="U24" s="4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1"/>
        <v>#REF!</v>
      </c>
      <c r="G25" s="232">
        <v>314825.14</v>
      </c>
      <c r="H25" s="233" t="e">
        <f t="shared" si="7"/>
        <v>#REF!</v>
      </c>
      <c r="I25" s="234" t="e">
        <f t="shared" si="3"/>
        <v>#REF!</v>
      </c>
      <c r="J25" s="218">
        <v>42955</v>
      </c>
      <c r="K25" s="235">
        <v>1969721.27</v>
      </c>
      <c r="L25" s="236">
        <v>43630</v>
      </c>
      <c r="M25" s="237">
        <v>314825.14</v>
      </c>
      <c r="N25" s="238" t="s">
        <v>77</v>
      </c>
      <c r="O25" s="43" t="s">
        <v>77</v>
      </c>
      <c r="P25" s="1"/>
      <c r="Q25" s="44" t="e">
        <f t="shared" si="8"/>
        <v>#REF!</v>
      </c>
      <c r="R25" s="1"/>
      <c r="S25" s="4">
        <f t="shared" si="9"/>
        <v>0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1"/>
        <v>#REF!</v>
      </c>
      <c r="G26" s="232">
        <v>251538.63</v>
      </c>
      <c r="H26" s="233" t="e">
        <f t="shared" si="7"/>
        <v>#REF!</v>
      </c>
      <c r="I26" s="234" t="e">
        <f t="shared" si="3"/>
        <v>#REF!</v>
      </c>
      <c r="J26" s="218">
        <v>42996</v>
      </c>
      <c r="K26" s="235">
        <v>1544843.91</v>
      </c>
      <c r="L26" s="236">
        <v>43630</v>
      </c>
      <c r="M26" s="237">
        <v>251538.63</v>
      </c>
      <c r="N26" s="238" t="s">
        <v>77</v>
      </c>
      <c r="O26" s="43" t="s">
        <v>77</v>
      </c>
      <c r="P26" s="1"/>
      <c r="Q26" s="44" t="e">
        <f t="shared" si="8"/>
        <v>#REF!</v>
      </c>
      <c r="R26" s="1"/>
      <c r="S26" s="4">
        <f t="shared" si="9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1"/>
        <v>#REF!</v>
      </c>
      <c r="G27" s="232">
        <v>272545.13</v>
      </c>
      <c r="H27" s="239" t="e">
        <f t="shared" si="7"/>
        <v>#REF!</v>
      </c>
      <c r="I27" s="234" t="e">
        <f t="shared" si="3"/>
        <v>#REF!</v>
      </c>
      <c r="J27" s="218">
        <v>43028</v>
      </c>
      <c r="K27" s="235">
        <v>1680366.56</v>
      </c>
      <c r="L27" s="240">
        <v>43630</v>
      </c>
      <c r="M27" s="237">
        <v>272545.13</v>
      </c>
      <c r="N27" s="241" t="s">
        <v>77</v>
      </c>
      <c r="O27" s="43" t="s">
        <v>77</v>
      </c>
      <c r="P27" s="1"/>
      <c r="Q27" s="44" t="e">
        <f t="shared" si="8"/>
        <v>#REF!</v>
      </c>
      <c r="R27" s="1"/>
      <c r="S27" s="4">
        <f t="shared" si="9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1"/>
        <v>#REF!</v>
      </c>
      <c r="G28" s="232">
        <v>638602.75</v>
      </c>
      <c r="H28" s="239" t="e">
        <f t="shared" si="7"/>
        <v>#REF!</v>
      </c>
      <c r="I28" s="234" t="e">
        <f t="shared" si="3"/>
        <v>#REF!</v>
      </c>
      <c r="J28" s="218">
        <v>43130</v>
      </c>
      <c r="K28" s="235">
        <v>2930113.15</v>
      </c>
      <c r="L28" s="240">
        <v>43630</v>
      </c>
      <c r="M28" s="242">
        <v>638602.75</v>
      </c>
      <c r="N28" s="241" t="s">
        <v>77</v>
      </c>
      <c r="O28" s="43" t="s">
        <v>77</v>
      </c>
      <c r="P28" s="1"/>
      <c r="Q28" s="44" t="e">
        <f t="shared" si="8"/>
        <v>#REF!</v>
      </c>
      <c r="R28" s="1"/>
      <c r="S28" s="4">
        <f t="shared" si="9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1"/>
        <v>#REF!</v>
      </c>
      <c r="G29" s="232">
        <v>664629.06999999995</v>
      </c>
      <c r="H29" s="239" t="e">
        <f t="shared" si="7"/>
        <v>#REF!</v>
      </c>
      <c r="I29" s="234" t="e">
        <f t="shared" si="3"/>
        <v>#REF!</v>
      </c>
      <c r="J29" s="218">
        <v>43130</v>
      </c>
      <c r="K29" s="235">
        <v>2890551.14</v>
      </c>
      <c r="L29" s="240">
        <v>43650</v>
      </c>
      <c r="M29" s="237">
        <v>664629.06999999995</v>
      </c>
      <c r="N29" s="241" t="s">
        <v>77</v>
      </c>
      <c r="O29" s="43" t="s">
        <v>77</v>
      </c>
      <c r="P29" s="1"/>
      <c r="Q29" s="44" t="e">
        <f t="shared" si="8"/>
        <v>#REF!</v>
      </c>
      <c r="R29" s="1"/>
      <c r="S29" s="4">
        <f t="shared" si="9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1"/>
        <v>#REF!</v>
      </c>
      <c r="G30" s="232">
        <v>314614.40999999997</v>
      </c>
      <c r="H30" s="239" t="e">
        <f t="shared" si="7"/>
        <v>#REF!</v>
      </c>
      <c r="I30" s="234" t="e">
        <f t="shared" si="3"/>
        <v>#REF!</v>
      </c>
      <c r="J30" s="218">
        <v>43200</v>
      </c>
      <c r="K30" s="235">
        <v>1409557.84</v>
      </c>
      <c r="L30" s="240">
        <v>43650</v>
      </c>
      <c r="M30" s="242">
        <v>314614.40999999997</v>
      </c>
      <c r="N30" s="241" t="s">
        <v>77</v>
      </c>
      <c r="O30" s="43" t="s">
        <v>77</v>
      </c>
      <c r="P30" s="1"/>
      <c r="Q30" s="44" t="e">
        <f t="shared" si="8"/>
        <v>#REF!</v>
      </c>
      <c r="R30" s="1"/>
      <c r="S30" s="4">
        <f t="shared" si="9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1"/>
        <v>#REF!</v>
      </c>
      <c r="G31" s="232">
        <v>362464.66</v>
      </c>
      <c r="H31" s="239" t="e">
        <f t="shared" si="7"/>
        <v>#REF!</v>
      </c>
      <c r="I31" s="234" t="e">
        <f t="shared" si="3"/>
        <v>#REF!</v>
      </c>
      <c r="J31" s="218">
        <v>43200</v>
      </c>
      <c r="K31" s="235">
        <v>1585611.53</v>
      </c>
      <c r="L31" s="240">
        <v>43650</v>
      </c>
      <c r="M31" s="242">
        <v>362464.66</v>
      </c>
      <c r="N31" s="241" t="s">
        <v>77</v>
      </c>
      <c r="O31" s="43" t="s">
        <v>77</v>
      </c>
      <c r="P31" s="1"/>
      <c r="Q31" s="44" t="e">
        <f t="shared" si="8"/>
        <v>#REF!</v>
      </c>
      <c r="R31" s="1"/>
      <c r="S31" s="4">
        <f t="shared" si="9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1"/>
        <v>#REF!</v>
      </c>
      <c r="G32" s="232">
        <v>342245.9</v>
      </c>
      <c r="H32" s="239" t="e">
        <f t="shared" si="7"/>
        <v>#REF!</v>
      </c>
      <c r="I32" s="234" t="e">
        <f t="shared" si="3"/>
        <v>#REF!</v>
      </c>
      <c r="J32" s="218">
        <v>43200</v>
      </c>
      <c r="K32" s="235">
        <v>1634053.22</v>
      </c>
      <c r="L32" s="240">
        <v>43650</v>
      </c>
      <c r="M32" s="237">
        <v>342245.9</v>
      </c>
      <c r="N32" s="241" t="s">
        <v>77</v>
      </c>
      <c r="O32" s="43" t="s">
        <v>77</v>
      </c>
      <c r="P32" s="1"/>
      <c r="Q32" s="44" t="e">
        <f t="shared" si="8"/>
        <v>#REF!</v>
      </c>
      <c r="R32" s="1"/>
      <c r="S32" s="4">
        <f t="shared" si="9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1"/>
        <v>#REF!</v>
      </c>
      <c r="G33" s="232">
        <v>467195.1</v>
      </c>
      <c r="H33" s="239" t="e">
        <f t="shared" si="7"/>
        <v>#REF!</v>
      </c>
      <c r="I33" s="234" t="e">
        <f t="shared" si="3"/>
        <v>#REF!</v>
      </c>
      <c r="J33" s="218">
        <v>43200</v>
      </c>
      <c r="K33" s="235">
        <v>1708666.62</v>
      </c>
      <c r="L33" s="240">
        <v>43650</v>
      </c>
      <c r="M33" s="237">
        <v>467195.1</v>
      </c>
      <c r="N33" s="241" t="s">
        <v>77</v>
      </c>
      <c r="O33" s="43" t="s">
        <v>77</v>
      </c>
      <c r="P33" s="1"/>
      <c r="Q33" s="44" t="e">
        <f t="shared" si="8"/>
        <v>#REF!</v>
      </c>
      <c r="R33" s="1"/>
      <c r="S33" s="4">
        <f t="shared" si="9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1"/>
        <v>#REF!</v>
      </c>
      <c r="G34" s="232">
        <v>334775.64</v>
      </c>
      <c r="H34" s="239" t="e">
        <f t="shared" si="7"/>
        <v>#REF!</v>
      </c>
      <c r="I34" s="234" t="e">
        <f t="shared" si="3"/>
        <v>#REF!</v>
      </c>
      <c r="J34" s="218">
        <v>43325</v>
      </c>
      <c r="K34" s="235">
        <v>1250322.1299999999</v>
      </c>
      <c r="L34" s="240">
        <v>43650</v>
      </c>
      <c r="M34" s="237">
        <v>334775.64</v>
      </c>
      <c r="N34" s="241" t="s">
        <v>77</v>
      </c>
      <c r="O34" s="43" t="s">
        <v>77</v>
      </c>
      <c r="P34" s="1"/>
      <c r="Q34" s="44" t="e">
        <f t="shared" si="8"/>
        <v>#REF!</v>
      </c>
      <c r="R34" s="1"/>
      <c r="S34" s="4">
        <f t="shared" si="9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1"/>
        <v>#REF!</v>
      </c>
      <c r="G35" s="232">
        <v>361555.29</v>
      </c>
      <c r="H35" s="239" t="e">
        <f t="shared" si="7"/>
        <v>#REF!</v>
      </c>
      <c r="I35" s="234" t="e">
        <f t="shared" si="3"/>
        <v>#REF!</v>
      </c>
      <c r="J35" s="218">
        <v>43325</v>
      </c>
      <c r="K35" s="235">
        <v>1288953.95</v>
      </c>
      <c r="L35" s="240">
        <v>43650</v>
      </c>
      <c r="M35" s="237">
        <v>361555.29</v>
      </c>
      <c r="N35" s="241" t="s">
        <v>77</v>
      </c>
      <c r="O35" s="43" t="s">
        <v>77</v>
      </c>
      <c r="P35" s="1"/>
      <c r="Q35" s="44" t="e">
        <f t="shared" si="8"/>
        <v>#REF!</v>
      </c>
      <c r="R35" s="1"/>
      <c r="S35" s="4">
        <f t="shared" si="9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1"/>
        <v>#REF!</v>
      </c>
      <c r="G36" s="232">
        <v>377177.58</v>
      </c>
      <c r="H36" s="239" t="e">
        <f t="shared" si="7"/>
        <v>#REF!</v>
      </c>
      <c r="I36" s="234" t="e">
        <f t="shared" si="3"/>
        <v>#REF!</v>
      </c>
      <c r="J36" s="218">
        <v>43325</v>
      </c>
      <c r="K36" s="235">
        <v>1049891.5</v>
      </c>
      <c r="L36" s="240">
        <v>43650</v>
      </c>
      <c r="M36" s="237">
        <v>377177.58</v>
      </c>
      <c r="N36" s="241" t="s">
        <v>77</v>
      </c>
      <c r="O36" s="43" t="s">
        <v>77</v>
      </c>
      <c r="P36" s="1"/>
      <c r="Q36" s="44" t="e">
        <f t="shared" si="8"/>
        <v>#REF!</v>
      </c>
      <c r="R36" s="1"/>
      <c r="S36" s="4">
        <f t="shared" si="9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88" t="e">
        <f t="shared" si="11"/>
        <v>#REF!</v>
      </c>
      <c r="G37" s="232">
        <v>450491</v>
      </c>
      <c r="H37" s="239" t="e">
        <f t="shared" si="7"/>
        <v>#REF!</v>
      </c>
      <c r="I37" s="234" t="e">
        <f t="shared" si="3"/>
        <v>#REF!</v>
      </c>
      <c r="J37" s="218">
        <v>43325</v>
      </c>
      <c r="K37" s="235">
        <v>2066796.34</v>
      </c>
      <c r="L37" s="240">
        <v>43650</v>
      </c>
      <c r="M37" s="237">
        <v>450491</v>
      </c>
      <c r="N37" s="241" t="s">
        <v>77</v>
      </c>
      <c r="O37" s="43" t="s">
        <v>77</v>
      </c>
      <c r="P37" s="1"/>
      <c r="Q37" s="44" t="e">
        <f t="shared" si="8"/>
        <v>#REF!</v>
      </c>
      <c r="R37" s="1"/>
      <c r="S37" s="4">
        <f t="shared" si="9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1"/>
        <v>#REF!</v>
      </c>
      <c r="G38" s="232"/>
      <c r="H38" s="239" t="e">
        <f t="shared" si="7"/>
        <v>#REF!</v>
      </c>
      <c r="I38" s="234" t="e">
        <f t="shared" si="3"/>
        <v>#REF!</v>
      </c>
      <c r="J38" s="218">
        <v>43819</v>
      </c>
      <c r="K38" s="235">
        <v>1949699.46</v>
      </c>
      <c r="L38" s="240" t="s">
        <v>54</v>
      </c>
      <c r="M38" s="237" t="s">
        <v>54</v>
      </c>
      <c r="N38" s="241" t="s">
        <v>77</v>
      </c>
      <c r="O38" s="43" t="s">
        <v>77</v>
      </c>
      <c r="P38" s="1"/>
      <c r="Q38" s="44" t="e">
        <f t="shared" si="8"/>
        <v>#REF!</v>
      </c>
      <c r="R38" s="1"/>
      <c r="S38" s="4">
        <f t="shared" si="9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1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AVERAGE(Q22:Q38)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2">SUM(G20:G38)</f>
        <v>#REF!</v>
      </c>
      <c r="H40" s="49" t="e">
        <f t="shared" si="12"/>
        <v>#REF!</v>
      </c>
      <c r="I40" s="50" t="e">
        <f t="shared" si="12"/>
        <v>#REF!</v>
      </c>
      <c r="J40" s="51" t="s">
        <v>29</v>
      </c>
      <c r="K40" s="52">
        <f>SUM(K22:K39)</f>
        <v>28508416.920000002</v>
      </c>
      <c r="L40" s="312">
        <f>SUM(M20:M38)</f>
        <v>5579544.1100000003</v>
      </c>
      <c r="M40" s="376"/>
      <c r="N40" s="310">
        <f>SUM(O20:O38)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>
        <v>0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3">SUM(S22:S40)</f>
        <v>0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>
        <v>1561383.96</v>
      </c>
      <c r="F46" s="68"/>
      <c r="G46" s="232">
        <v>473022.39</v>
      </c>
      <c r="H46" s="239">
        <v>0</v>
      </c>
      <c r="I46" s="234">
        <f t="shared" ref="I46:I49" si="14">G46+H46</f>
        <v>473022.39</v>
      </c>
      <c r="J46" s="218">
        <v>43889</v>
      </c>
      <c r="K46" s="235">
        <v>1561383.96</v>
      </c>
      <c r="L46" s="236">
        <v>43908</v>
      </c>
      <c r="M46" s="237">
        <v>473022.39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1</v>
      </c>
      <c r="E47" s="243">
        <v>1000000</v>
      </c>
      <c r="F47" s="69"/>
      <c r="G47" s="232" t="e">
        <f>HLOOKUP($O$3,#REF!,121+D47,0)</f>
        <v>#REF!</v>
      </c>
      <c r="H47" s="239" t="e">
        <f t="shared" ref="H47:H49" si="15">HLOOKUP($O$3,#REF!,126+D47,0)</f>
        <v>#REF!</v>
      </c>
      <c r="I47" s="234" t="e">
        <f t="shared" si="14"/>
        <v>#REF!</v>
      </c>
      <c r="J47" s="218">
        <v>43782</v>
      </c>
      <c r="K47" s="235">
        <v>1000000</v>
      </c>
      <c r="L47" s="236" t="s">
        <v>54</v>
      </c>
      <c r="M47" s="237" t="s">
        <v>54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2</v>
      </c>
      <c r="E48" s="243">
        <v>429394.82</v>
      </c>
      <c r="F48" s="69"/>
      <c r="G48" s="232">
        <v>811052.49</v>
      </c>
      <c r="H48" s="239" t="e">
        <f t="shared" si="15"/>
        <v>#REF!</v>
      </c>
      <c r="I48" s="234" t="e">
        <f t="shared" si="14"/>
        <v>#REF!</v>
      </c>
      <c r="J48" s="218">
        <v>43908</v>
      </c>
      <c r="K48" s="235">
        <v>429394.82</v>
      </c>
      <c r="L48" s="236">
        <v>43980</v>
      </c>
      <c r="M48" s="237">
        <v>811052.49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3</v>
      </c>
      <c r="E49" s="243">
        <v>0</v>
      </c>
      <c r="F49" s="69"/>
      <c r="G49" s="232" t="e">
        <f>HLOOKUP($O$3,#REF!,121+D49,0)</f>
        <v>#REF!</v>
      </c>
      <c r="H49" s="239" t="e">
        <f t="shared" si="15"/>
        <v>#REF!</v>
      </c>
      <c r="I49" s="234" t="e">
        <f t="shared" si="14"/>
        <v>#REF!</v>
      </c>
      <c r="J49" s="218" t="s">
        <v>54</v>
      </c>
      <c r="K49" s="235" t="s">
        <v>54</v>
      </c>
      <c r="L49" s="236" t="s">
        <v>54</v>
      </c>
      <c r="M49" s="237" t="s">
        <v>54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>
        <f>SUM(E46:E50)</f>
        <v>2990778.78</v>
      </c>
      <c r="F51" s="47"/>
      <c r="G51" s="48" t="e">
        <f t="shared" ref="G51:I51" si="16">SUM(G46:G50)</f>
        <v>#REF!</v>
      </c>
      <c r="H51" s="49" t="e">
        <f t="shared" si="16"/>
        <v>#REF!</v>
      </c>
      <c r="I51" s="50" t="e">
        <f t="shared" si="16"/>
        <v>#REF!</v>
      </c>
      <c r="J51" s="51" t="s">
        <v>29</v>
      </c>
      <c r="K51" s="52">
        <f>SUM(K46:K50)</f>
        <v>2990778.78</v>
      </c>
      <c r="L51" s="312">
        <f>SUM(M46:M50)</f>
        <v>1284074.8799999999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>
        <f>E51-K51</f>
        <v>0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17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17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17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17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18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18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18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18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308" priority="1">
      <formula>IF(TODAY()&gt;=E5+355,1,0)</formula>
    </cfRule>
  </conditionalFormatting>
  <conditionalFormatting sqref="E22:E42 E45:E53 E56:E64 E67:E71">
    <cfRule type="expression" dxfId="307" priority="2">
      <formula>IF(K22:K71="DEV",1,IF(K22:K71="no pago",1,0))</formula>
    </cfRule>
  </conditionalFormatting>
  <conditionalFormatting sqref="G22:G40 G42 G44:G51 G53 G55:G64 G66:G71">
    <cfRule type="expression" dxfId="306" priority="3">
      <formula>IF(M22:M71="DEV",1,IF(M22:M71="no pago",1,0))</formula>
    </cfRule>
  </conditionalFormatting>
  <conditionalFormatting sqref="H22:H40 H42 H45:H51 H53 H56:H64 H67:H71">
    <cfRule type="expression" dxfId="305" priority="4">
      <formula>IF(O22:O71="DEV",1,IF(O22:O71="no pago",1,0))</formula>
    </cfRule>
  </conditionalFormatting>
  <conditionalFormatting sqref="K20:K38">
    <cfRule type="cellIs" dxfId="304" priority="5" operator="lessThan">
      <formula>E20:E28</formula>
    </cfRule>
  </conditionalFormatting>
  <conditionalFormatting sqref="K46:K49 K68:K71">
    <cfRule type="cellIs" dxfId="303" priority="6" operator="lessThan">
      <formula>E46:E49</formula>
    </cfRule>
  </conditionalFormatting>
  <conditionalFormatting sqref="K57:K60">
    <cfRule type="cellIs" dxfId="302" priority="7" operator="lessThan">
      <formula>E57:E60</formula>
    </cfRule>
  </conditionalFormatting>
  <conditionalFormatting sqref="K68:K71">
    <cfRule type="cellIs" dxfId="301" priority="8" operator="lessThan">
      <formula>E68:E71</formula>
    </cfRule>
  </conditionalFormatting>
  <conditionalFormatting sqref="J20:O39 J46:O49 J57:O60 J68:O71">
    <cfRule type="cellIs" dxfId="300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299" priority="10" operator="equal">
      <formula>"DEV"</formula>
    </cfRule>
  </conditionalFormatting>
  <conditionalFormatting sqref="K20:K38 K46:K49 K57:K60 K68:K71 K80:K82 M20:M38 M46:M49 M57:M60 M68:M71 O20:O38 O46:O49 O57:O60 O68:O71">
    <cfRule type="cellIs" dxfId="298" priority="11" operator="equal">
      <formula>"no pago"</formula>
    </cfRule>
  </conditionalFormatting>
  <conditionalFormatting sqref="B1:D1 B2:E2">
    <cfRule type="expression" dxfId="297" priority="12">
      <formula>$E$1="NO"</formula>
    </cfRule>
  </conditionalFormatting>
  <conditionalFormatting sqref="B1:D1 B2:E2">
    <cfRule type="expression" dxfId="296" priority="13">
      <formula>$E$1="SI"</formula>
    </cfRule>
  </conditionalFormatting>
  <conditionalFormatting sqref="F1">
    <cfRule type="expression" dxfId="295" priority="14">
      <formula>$E$1="NO"</formula>
    </cfRule>
  </conditionalFormatting>
  <conditionalFormatting sqref="F1">
    <cfRule type="expression" dxfId="294" priority="15">
      <formula>$E$1="SI"</formula>
    </cfRule>
  </conditionalFormatting>
  <conditionalFormatting sqref="N7:O8">
    <cfRule type="cellIs" dxfId="293" priority="16" operator="equal">
      <formula>"PARALIZADA"</formula>
    </cfRule>
  </conditionalFormatting>
  <conditionalFormatting sqref="N7:O8">
    <cfRule type="cellIs" dxfId="292" priority="17" operator="equal">
      <formula>"EN EJECUCIÓN"</formula>
    </cfRule>
  </conditionalFormatting>
  <conditionalFormatting sqref="N7:O8">
    <cfRule type="cellIs" dxfId="291" priority="18" operator="equal">
      <formula>"TERMINADA"</formula>
    </cfRule>
  </conditionalFormatting>
  <conditionalFormatting sqref="N7:O8">
    <cfRule type="cellIs" dxfId="290" priority="19" operator="equal">
      <formula>"COMPLETADA"</formula>
    </cfRule>
  </conditionalFormatting>
  <hyperlinks>
    <hyperlink ref="O1" location="null!A1" display="&lt; VOLVER" xr:uid="{00000000-0004-0000-0C00-000000000000}"/>
    <hyperlink ref="Q3" location="null!A1" display="'BASE DATOS'!A1" xr:uid="{00000000-0004-0000-0C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9.28515625" customWidth="1"/>
    <col min="12" max="12" width="11" customWidth="1"/>
    <col min="13" max="13" width="16" customWidth="1"/>
    <col min="14" max="14" width="11" customWidth="1"/>
    <col min="15" max="15" width="18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18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18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>
        <v>91767.98</v>
      </c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31597754.580000006</v>
      </c>
      <c r="H13" s="22">
        <f>K51</f>
        <v>0</v>
      </c>
      <c r="I13" s="203">
        <f>L40+N40+L51+N51</f>
        <v>15104906.539999999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>
        <v>10624647</v>
      </c>
      <c r="C14" s="1"/>
      <c r="D14" s="204" t="s">
        <v>30</v>
      </c>
      <c r="E14" s="21" t="e">
        <f t="shared" ref="E14:H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/>
      <c r="J14" s="340" t="e">
        <f>J12-J13</f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>
        <f>1517806.26+2935456.46</f>
        <v>4453262.72</v>
      </c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>
        <f>E41</f>
        <v>0</v>
      </c>
      <c r="H15" s="206" t="e">
        <f>H11-H12</f>
        <v>#REF!</v>
      </c>
      <c r="I15" s="25">
        <v>0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27" si="6">HLOOKUP($O$3,#REF!,42+D22,0)</f>
        <v>#REF!</v>
      </c>
      <c r="F22" s="42" t="e">
        <f>IF(E22=0,0,$G$7)</f>
        <v>#REF!</v>
      </c>
      <c r="G22" s="232" t="e">
        <f t="shared" ref="G22:G27" si="7">HLOOKUP($O$3,#REF!,63+D22,0)</f>
        <v>#REF!</v>
      </c>
      <c r="H22" s="233">
        <v>995144.20885128621</v>
      </c>
      <c r="I22" s="234" t="e">
        <f t="shared" si="3"/>
        <v>#REF!</v>
      </c>
      <c r="J22" s="218">
        <v>43434</v>
      </c>
      <c r="K22" s="252">
        <v>4395444.99</v>
      </c>
      <c r="L22" s="236" t="s">
        <v>77</v>
      </c>
      <c r="M22" s="237" t="s">
        <v>77</v>
      </c>
      <c r="N22" s="238">
        <v>43929</v>
      </c>
      <c r="O22" s="43">
        <v>2962456.46</v>
      </c>
      <c r="P22" s="1"/>
      <c r="Q22" s="44" t="e">
        <f t="shared" ref="Q22:Q38" si="8">IF(E22=0,,I22/E22)</f>
        <v>#REF!</v>
      </c>
      <c r="R22" s="1"/>
      <c r="S22" s="4">
        <f t="shared" ref="S22:S38" si="9">IF(O22="sin certificar",(E22*$Q$39)-I22,0)</f>
        <v>0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27" si="11">EOMONTH(F22,1)</f>
        <v>#REF!</v>
      </c>
      <c r="G23" s="232" t="e">
        <f t="shared" si="7"/>
        <v>#REF!</v>
      </c>
      <c r="H23" s="233">
        <v>1937855.41</v>
      </c>
      <c r="I23" s="234" t="e">
        <f t="shared" si="3"/>
        <v>#REF!</v>
      </c>
      <c r="J23" s="218">
        <v>43518</v>
      </c>
      <c r="K23" s="235">
        <v>6933385.4100000001</v>
      </c>
      <c r="L23" s="236" t="s">
        <v>77</v>
      </c>
      <c r="M23" s="237" t="s">
        <v>77</v>
      </c>
      <c r="N23" s="238">
        <v>43965</v>
      </c>
      <c r="O23" s="43">
        <v>1517806.26</v>
      </c>
      <c r="P23" s="1"/>
      <c r="Q23" s="44" t="e">
        <f t="shared" si="8"/>
        <v>#REF!</v>
      </c>
      <c r="R23" s="1"/>
      <c r="S23" s="4">
        <f t="shared" si="9"/>
        <v>0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1"/>
        <v>#REF!</v>
      </c>
      <c r="G24" s="232" t="e">
        <f t="shared" si="7"/>
        <v>#REF!</v>
      </c>
      <c r="H24" s="233">
        <v>343834.09</v>
      </c>
      <c r="I24" s="234" t="e">
        <f t="shared" si="3"/>
        <v>#REF!</v>
      </c>
      <c r="J24" s="218">
        <v>43599</v>
      </c>
      <c r="K24" s="235">
        <v>823089.6</v>
      </c>
      <c r="L24" s="236" t="s">
        <v>77</v>
      </c>
      <c r="M24" s="237" t="s">
        <v>77</v>
      </c>
      <c r="N24" s="238">
        <v>43992</v>
      </c>
      <c r="O24" s="43">
        <v>1517806.26</v>
      </c>
      <c r="P24" s="1"/>
      <c r="Q24" s="44" t="e">
        <f t="shared" si="8"/>
        <v>#REF!</v>
      </c>
      <c r="R24" s="1"/>
      <c r="S24" s="4">
        <f t="shared" si="9"/>
        <v>0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1"/>
        <v>#REF!</v>
      </c>
      <c r="G25" s="232" t="e">
        <f t="shared" si="7"/>
        <v>#REF!</v>
      </c>
      <c r="H25" s="233">
        <v>7149866.6299999999</v>
      </c>
      <c r="I25" s="234" t="e">
        <f t="shared" si="3"/>
        <v>#REF!</v>
      </c>
      <c r="J25" s="218">
        <v>43761</v>
      </c>
      <c r="K25" s="235">
        <v>13765350.130000001</v>
      </c>
      <c r="L25" s="236" t="s">
        <v>77</v>
      </c>
      <c r="M25" s="237" t="s">
        <v>77</v>
      </c>
      <c r="N25" s="238">
        <v>44028</v>
      </c>
      <c r="O25" s="119">
        <v>1517806.26</v>
      </c>
      <c r="P25" s="1"/>
      <c r="Q25" s="44" t="e">
        <f t="shared" si="8"/>
        <v>#REF!</v>
      </c>
      <c r="R25" s="1"/>
      <c r="S25" s="4">
        <f t="shared" si="9"/>
        <v>0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1"/>
        <v>#REF!</v>
      </c>
      <c r="G26" s="232" t="e">
        <f t="shared" si="7"/>
        <v>#REF!</v>
      </c>
      <c r="H26" s="233">
        <v>2671285.64</v>
      </c>
      <c r="I26" s="234" t="e">
        <f t="shared" si="3"/>
        <v>#REF!</v>
      </c>
      <c r="J26" s="218">
        <v>43782</v>
      </c>
      <c r="K26" s="235">
        <v>3439032.37</v>
      </c>
      <c r="L26" s="236" t="s">
        <v>77</v>
      </c>
      <c r="M26" s="237" t="s">
        <v>77</v>
      </c>
      <c r="N26" s="238">
        <v>44055</v>
      </c>
      <c r="O26" s="119">
        <v>1517806.26</v>
      </c>
      <c r="P26" s="1"/>
      <c r="Q26" s="44" t="e">
        <f t="shared" si="8"/>
        <v>#REF!</v>
      </c>
      <c r="R26" s="1"/>
      <c r="S26" s="4">
        <f t="shared" si="9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1"/>
        <v>#REF!</v>
      </c>
      <c r="G27" s="232" t="e">
        <f t="shared" si="7"/>
        <v>#REF!</v>
      </c>
      <c r="H27" s="239">
        <v>1806954.31</v>
      </c>
      <c r="I27" s="234" t="e">
        <f t="shared" si="3"/>
        <v>#REF!</v>
      </c>
      <c r="J27" s="218">
        <v>43909</v>
      </c>
      <c r="K27" s="235">
        <v>2241452.08</v>
      </c>
      <c r="L27" s="240" t="s">
        <v>77</v>
      </c>
      <c r="M27" s="237" t="s">
        <v>77</v>
      </c>
      <c r="N27" s="241">
        <v>44085</v>
      </c>
      <c r="O27" s="43">
        <v>1517806.26</v>
      </c>
      <c r="P27" s="1"/>
      <c r="Q27" s="44" t="e">
        <f t="shared" si="8"/>
        <v>#REF!</v>
      </c>
      <c r="R27" s="1"/>
      <c r="S27" s="4">
        <f t="shared" si="9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>
        <v>0</v>
      </c>
      <c r="F28" s="42"/>
      <c r="G28" s="269" t="s">
        <v>116</v>
      </c>
      <c r="H28" s="239">
        <v>199966.25</v>
      </c>
      <c r="I28" s="234">
        <f t="shared" si="3"/>
        <v>199966.25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>
        <v>44117</v>
      </c>
      <c r="O28" s="43">
        <v>1517806.26</v>
      </c>
      <c r="P28" s="1"/>
      <c r="Q28" s="44">
        <f t="shared" si="8"/>
        <v>0</v>
      </c>
      <c r="R28" s="1"/>
      <c r="S28" s="4">
        <f t="shared" si="9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ref="E29:E38" si="12">HLOOKUP($O$3,#REF!,42+D29,0)</f>
        <v>#REF!</v>
      </c>
      <c r="F29" s="42"/>
      <c r="G29" s="232" t="e">
        <f t="shared" ref="G29:G38" si="13">HLOOKUP($O$3,#REF!,63+D29,0)</f>
        <v>#REF!</v>
      </c>
      <c r="H29" s="239" t="e">
        <f t="shared" ref="H29:H38" si="14">HLOOKUP($O$3,#REF!,84+D29,0)</f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>
        <v>44145</v>
      </c>
      <c r="O29" s="43">
        <v>1517806.26</v>
      </c>
      <c r="P29" s="1"/>
      <c r="Q29" s="44" t="e">
        <f t="shared" si="8"/>
        <v>#REF!</v>
      </c>
      <c r="R29" s="1"/>
      <c r="S29" s="4">
        <f t="shared" si="9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12"/>
        <v>#REF!</v>
      </c>
      <c r="F30" s="42"/>
      <c r="G30" s="232" t="e">
        <f t="shared" si="13"/>
        <v>#REF!</v>
      </c>
      <c r="H30" s="239" t="e">
        <f t="shared" si="14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>
        <v>44175</v>
      </c>
      <c r="O30" s="43">
        <v>1517806.26</v>
      </c>
      <c r="P30" s="1"/>
      <c r="Q30" s="44" t="e">
        <f t="shared" si="8"/>
        <v>#REF!</v>
      </c>
      <c r="R30" s="1"/>
      <c r="S30" s="4">
        <f t="shared" si="9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12"/>
        <v>#REF!</v>
      </c>
      <c r="F31" s="42"/>
      <c r="G31" s="232" t="e">
        <f t="shared" si="13"/>
        <v>#REF!</v>
      </c>
      <c r="H31" s="239" t="e">
        <f t="shared" si="14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8"/>
        <v>#REF!</v>
      </c>
      <c r="R31" s="1"/>
      <c r="S31" s="4">
        <f t="shared" si="9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12"/>
        <v>#REF!</v>
      </c>
      <c r="F32" s="42"/>
      <c r="G32" s="232" t="e">
        <f t="shared" si="13"/>
        <v>#REF!</v>
      </c>
      <c r="H32" s="239" t="e">
        <f t="shared" si="14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8"/>
        <v>#REF!</v>
      </c>
      <c r="R32" s="1"/>
      <c r="S32" s="4">
        <f t="shared" si="9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12"/>
        <v>#REF!</v>
      </c>
      <c r="F33" s="42"/>
      <c r="G33" s="232" t="e">
        <f t="shared" si="13"/>
        <v>#REF!</v>
      </c>
      <c r="H33" s="239" t="e">
        <f t="shared" si="14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8"/>
        <v>#REF!</v>
      </c>
      <c r="R33" s="1"/>
      <c r="S33" s="4">
        <f t="shared" si="9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12"/>
        <v>#REF!</v>
      </c>
      <c r="F34" s="42"/>
      <c r="G34" s="232" t="e">
        <f t="shared" si="13"/>
        <v>#REF!</v>
      </c>
      <c r="H34" s="239" t="e">
        <f t="shared" si="14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8"/>
        <v>#REF!</v>
      </c>
      <c r="R34" s="1"/>
      <c r="S34" s="4">
        <f t="shared" si="9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12"/>
        <v>#REF!</v>
      </c>
      <c r="F35" s="42"/>
      <c r="G35" s="232" t="e">
        <f t="shared" si="13"/>
        <v>#REF!</v>
      </c>
      <c r="H35" s="239" t="e">
        <f t="shared" si="14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8"/>
        <v>#REF!</v>
      </c>
      <c r="R35" s="1"/>
      <c r="S35" s="4">
        <f t="shared" si="9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12"/>
        <v>#REF!</v>
      </c>
      <c r="F36" s="42"/>
      <c r="G36" s="232" t="e">
        <f t="shared" si="13"/>
        <v>#REF!</v>
      </c>
      <c r="H36" s="239" t="e">
        <f t="shared" si="14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8"/>
        <v>#REF!</v>
      </c>
      <c r="R36" s="1"/>
      <c r="S36" s="4">
        <f t="shared" si="9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12"/>
        <v>#REF!</v>
      </c>
      <c r="F37" s="88"/>
      <c r="G37" s="232" t="e">
        <f t="shared" si="13"/>
        <v>#REF!</v>
      </c>
      <c r="H37" s="239" t="e">
        <f t="shared" si="14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8"/>
        <v>#REF!</v>
      </c>
      <c r="R37" s="1"/>
      <c r="S37" s="4">
        <f t="shared" si="9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12"/>
        <v>#REF!</v>
      </c>
      <c r="F38" s="42"/>
      <c r="G38" s="232" t="e">
        <f t="shared" si="13"/>
        <v>#REF!</v>
      </c>
      <c r="H38" s="239" t="e">
        <f t="shared" si="14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8"/>
        <v>#REF!</v>
      </c>
      <c r="R38" s="1"/>
      <c r="S38" s="4">
        <f t="shared" si="9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>
        <f>SUM(K22:K39)</f>
        <v>31597754.580000006</v>
      </c>
      <c r="L40" s="312">
        <f>SUM(M22:M38)</f>
        <v>0</v>
      </c>
      <c r="M40" s="376"/>
      <c r="N40" s="310">
        <f>SUM(O22:O38)</f>
        <v>15104906.539999999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>
        <v>0</v>
      </c>
      <c r="F41" s="313" t="s">
        <v>73</v>
      </c>
      <c r="G41" s="359"/>
      <c r="H41" s="359"/>
      <c r="I41" s="55"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6">SUM(S22:S40)</f>
        <v>0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>
        <v>0</v>
      </c>
      <c r="F46" s="68"/>
      <c r="G46" s="232" t="e">
        <f t="shared" ref="G46:G49" si="17">HLOOKUP($O$3,#REF!,121+D46,0)</f>
        <v>#REF!</v>
      </c>
      <c r="H46" s="239" t="e">
        <f t="shared" ref="H46:H49" si="18">HLOOKUP($O$3,#REF!,126+D46,0)</f>
        <v>#REF!</v>
      </c>
      <c r="I46" s="234" t="e">
        <f t="shared" ref="I46:I49" si="19">G46+H46</f>
        <v>#REF!</v>
      </c>
      <c r="J46" s="218" t="s">
        <v>45</v>
      </c>
      <c r="K46" s="235" t="s">
        <v>46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ref="E47:E49" si="20">HLOOKUP($O$3,#REF!,116+D47,0)</f>
        <v>#REF!</v>
      </c>
      <c r="F47" s="69"/>
      <c r="G47" s="232" t="e">
        <f t="shared" si="17"/>
        <v>#REF!</v>
      </c>
      <c r="H47" s="239" t="e">
        <f t="shared" si="18"/>
        <v>#REF!</v>
      </c>
      <c r="I47" s="234" t="e">
        <f t="shared" si="19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20"/>
        <v>#REF!</v>
      </c>
      <c r="F48" s="69"/>
      <c r="G48" s="232" t="e">
        <f t="shared" si="17"/>
        <v>#REF!</v>
      </c>
      <c r="H48" s="239" t="e">
        <f t="shared" si="18"/>
        <v>#REF!</v>
      </c>
      <c r="I48" s="234" t="e">
        <f t="shared" si="19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20"/>
        <v>#REF!</v>
      </c>
      <c r="F49" s="69"/>
      <c r="G49" s="232" t="e">
        <f t="shared" si="17"/>
        <v>#REF!</v>
      </c>
      <c r="H49" s="239" t="e">
        <f t="shared" si="18"/>
        <v>#REF!</v>
      </c>
      <c r="I49" s="234" t="e">
        <f t="shared" si="19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1">SUM(G46:G50)</f>
        <v>#REF!</v>
      </c>
      <c r="H51" s="49" t="e">
        <f t="shared" si="21"/>
        <v>#REF!</v>
      </c>
      <c r="I51" s="50" t="e">
        <f t="shared" si="21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2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2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2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2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3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3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3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3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289" priority="1">
      <formula>IF(TODAY()&gt;=E5+355,1,0)</formula>
    </cfRule>
  </conditionalFormatting>
  <conditionalFormatting sqref="E22:E42 E45:E53 E56:E64 E67:E71">
    <cfRule type="expression" dxfId="288" priority="2">
      <formula>IF(K22:K71="DEV",1,IF(K22:K71="no pago",1,0))</formula>
    </cfRule>
  </conditionalFormatting>
  <conditionalFormatting sqref="G22:G40 G42 G44:G51 G53 G55:G64 G66:G71">
    <cfRule type="expression" dxfId="287" priority="3">
      <formula>IF(M22:M71="DEV",1,IF(M22:M71="no pago",1,0))</formula>
    </cfRule>
  </conditionalFormatting>
  <conditionalFormatting sqref="H22:H40 H42 H45:H51 H53 H56:H64 H67:H71">
    <cfRule type="expression" dxfId="286" priority="4">
      <formula>IF(O22:O71="DEV",1,IF(O22:O71="no pago",1,0))</formula>
    </cfRule>
  </conditionalFormatting>
  <conditionalFormatting sqref="K20:K38">
    <cfRule type="cellIs" dxfId="285" priority="5" operator="lessThan">
      <formula>E20:E28</formula>
    </cfRule>
  </conditionalFormatting>
  <conditionalFormatting sqref="K46:K49 K68:K71">
    <cfRule type="cellIs" dxfId="284" priority="6" operator="lessThan">
      <formula>E46:E49</formula>
    </cfRule>
  </conditionalFormatting>
  <conditionalFormatting sqref="K57:K60">
    <cfRule type="cellIs" dxfId="283" priority="7" operator="lessThan">
      <formula>E57:E60</formula>
    </cfRule>
  </conditionalFormatting>
  <conditionalFormatting sqref="K68:K71">
    <cfRule type="cellIs" dxfId="282" priority="8" operator="lessThan">
      <formula>E68:E71</formula>
    </cfRule>
  </conditionalFormatting>
  <conditionalFormatting sqref="J20:O39 J46:O49 J57:O60 J68:O71">
    <cfRule type="cellIs" dxfId="281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280" priority="10" operator="equal">
      <formula>"DEV"</formula>
    </cfRule>
  </conditionalFormatting>
  <conditionalFormatting sqref="K20:K38 K46:K49 K57:K60 K68:K71 K80:K82 M20:M38 M46:M49 M57:M60 M68:M71 O20:O38 O46:O49 O57:O60 O68:O71">
    <cfRule type="cellIs" dxfId="279" priority="11" operator="equal">
      <formula>"no pago"</formula>
    </cfRule>
  </conditionalFormatting>
  <conditionalFormatting sqref="B1:D1 B2:E2">
    <cfRule type="expression" dxfId="278" priority="12">
      <formula>$E$1="NO"</formula>
    </cfRule>
  </conditionalFormatting>
  <conditionalFormatting sqref="B1:D1 B2:E2">
    <cfRule type="expression" dxfId="277" priority="13">
      <formula>$E$1="SI"</formula>
    </cfRule>
  </conditionalFormatting>
  <conditionalFormatting sqref="F1">
    <cfRule type="expression" dxfId="276" priority="14">
      <formula>$E$1="NO"</formula>
    </cfRule>
  </conditionalFormatting>
  <conditionalFormatting sqref="F1">
    <cfRule type="expression" dxfId="275" priority="15">
      <formula>$E$1="SI"</formula>
    </cfRule>
  </conditionalFormatting>
  <conditionalFormatting sqref="N7:O8">
    <cfRule type="cellIs" dxfId="274" priority="16" operator="equal">
      <formula>"PARALIZADA"</formula>
    </cfRule>
  </conditionalFormatting>
  <conditionalFormatting sqref="N7:O8">
    <cfRule type="cellIs" dxfId="273" priority="17" operator="equal">
      <formula>"EN EJECUCION"</formula>
    </cfRule>
  </conditionalFormatting>
  <conditionalFormatting sqref="N7:O8">
    <cfRule type="cellIs" dxfId="272" priority="18" operator="equal">
      <formula>"TERMINADA"</formula>
    </cfRule>
  </conditionalFormatting>
  <conditionalFormatting sqref="N7:O8">
    <cfRule type="cellIs" dxfId="271" priority="19" operator="equal">
      <formula>"COMPLETADA"</formula>
    </cfRule>
  </conditionalFormatting>
  <hyperlinks>
    <hyperlink ref="O1" location="null!A1" display="&lt; VOLVER" xr:uid="{00000000-0004-0000-0D00-000000000000}"/>
    <hyperlink ref="Q3" location="null!A1" display="'BASE DATOS'!A1" xr:uid="{00000000-0004-0000-0D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19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18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>
        <v>147182.17000000001</v>
      </c>
      <c r="I11" s="20" t="e">
        <f>HLOOKUP(O3,#REF!,13,0)</f>
        <v>#REF!</v>
      </c>
      <c r="J11" s="332" t="e">
        <f>HLOOKUP(O3,#REF!,16,0)</f>
        <v>#REF!</v>
      </c>
      <c r="K11" s="371"/>
      <c r="L11" s="333"/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>
        <f>E40</f>
        <v>4179881.0400000005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4179881.0400000005</v>
      </c>
      <c r="H13" s="22">
        <f>K51</f>
        <v>147182.17000000001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06">
        <f t="shared" si="1"/>
        <v>0</v>
      </c>
      <c r="H14" s="206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26" t="e">
        <f>J11-J12</f>
        <v>#REF!</v>
      </c>
      <c r="K15" s="207" t="e">
        <f>J11-K12</f>
        <v>#REF!</v>
      </c>
      <c r="L15" s="352" t="e">
        <f>L11-L12</f>
        <v>#REF!</v>
      </c>
      <c r="M15" s="385"/>
      <c r="N15" s="355" t="e">
        <f t="shared" si="0"/>
        <v>#REF!</v>
      </c>
      <c r="O15" s="385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73"/>
      <c r="E16" s="248"/>
      <c r="F16" s="248"/>
      <c r="G16" s="248"/>
      <c r="H16" s="248"/>
      <c r="I16" s="249"/>
      <c r="J16" s="248"/>
      <c r="K16" s="248"/>
      <c r="L16" s="248"/>
      <c r="M16" s="248"/>
      <c r="N16" s="248"/>
      <c r="O16" s="74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5" si="4">HLOOKUP($O$3,#REF!,21+A22,0)</f>
        <v>#REF!</v>
      </c>
      <c r="C22" s="40"/>
      <c r="D22" s="41">
        <v>4</v>
      </c>
      <c r="E22" s="243">
        <v>239629</v>
      </c>
      <c r="F22" s="42">
        <v>121</v>
      </c>
      <c r="G22" s="232" t="e">
        <f t="shared" ref="G22:G38" si="5">HLOOKUP($O$3,#REF!,63+D22,0)</f>
        <v>#REF!</v>
      </c>
      <c r="H22" s="233" t="e">
        <f t="shared" ref="H22:H38" si="6">HLOOKUP($O$3,#REF!,84+D22,0)</f>
        <v>#REF!</v>
      </c>
      <c r="I22" s="234" t="e">
        <f t="shared" si="3"/>
        <v>#REF!</v>
      </c>
      <c r="J22" s="218">
        <v>42998</v>
      </c>
      <c r="K22" s="252">
        <v>239629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/>
      <c r="D23" s="41">
        <v>5</v>
      </c>
      <c r="E23" s="243">
        <v>84690.52</v>
      </c>
      <c r="F23" s="42">
        <v>152</v>
      </c>
      <c r="G23" s="232" t="e">
        <f t="shared" si="5"/>
        <v>#REF!</v>
      </c>
      <c r="H23" s="233" t="e">
        <f t="shared" si="6"/>
        <v>#REF!</v>
      </c>
      <c r="I23" s="234" t="e">
        <f t="shared" si="3"/>
        <v>#REF!</v>
      </c>
      <c r="J23" s="218">
        <v>43161</v>
      </c>
      <c r="K23" s="235">
        <v>84690.52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/>
      <c r="D24" s="41">
        <v>6</v>
      </c>
      <c r="E24" s="243">
        <v>76624.759999999995</v>
      </c>
      <c r="F24" s="42">
        <v>182</v>
      </c>
      <c r="G24" s="232" t="e">
        <f t="shared" si="5"/>
        <v>#REF!</v>
      </c>
      <c r="H24" s="233" t="e">
        <f t="shared" si="6"/>
        <v>#REF!</v>
      </c>
      <c r="I24" s="234" t="e">
        <f t="shared" si="3"/>
        <v>#REF!</v>
      </c>
      <c r="J24" s="218">
        <v>43199</v>
      </c>
      <c r="K24" s="235">
        <v>76624.759999999995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ref="C25:C38" si="10">IF(B25&lt;&gt;"",,A25)</f>
        <v>#REF!</v>
      </c>
      <c r="D25" s="41">
        <v>7</v>
      </c>
      <c r="E25" s="243">
        <v>141903.17000000001</v>
      </c>
      <c r="F25" s="42">
        <v>213</v>
      </c>
      <c r="G25" s="232" t="e">
        <f t="shared" si="5"/>
        <v>#REF!</v>
      </c>
      <c r="H25" s="233" t="e">
        <f t="shared" si="6"/>
        <v>#REF!</v>
      </c>
      <c r="I25" s="234" t="e">
        <f t="shared" si="3"/>
        <v>#REF!</v>
      </c>
      <c r="J25" s="218">
        <v>43146</v>
      </c>
      <c r="K25" s="235">
        <v>141903.17000000001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10"/>
        <v>#REF!</v>
      </c>
      <c r="D26" s="41">
        <v>8</v>
      </c>
      <c r="E26" s="243">
        <v>116273.7</v>
      </c>
      <c r="F26" s="42">
        <v>244</v>
      </c>
      <c r="G26" s="232" t="e">
        <f t="shared" si="5"/>
        <v>#REF!</v>
      </c>
      <c r="H26" s="233" t="e">
        <f t="shared" si="6"/>
        <v>#REF!</v>
      </c>
      <c r="I26" s="234" t="e">
        <f t="shared" si="3"/>
        <v>#REF!</v>
      </c>
      <c r="J26" s="218">
        <v>43153</v>
      </c>
      <c r="K26" s="235">
        <v>116273.7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10"/>
        <v>#REF!</v>
      </c>
      <c r="D27" s="41">
        <v>9</v>
      </c>
      <c r="E27" s="243">
        <v>207412.63</v>
      </c>
      <c r="F27" s="42">
        <v>274</v>
      </c>
      <c r="G27" s="232" t="e">
        <f t="shared" si="5"/>
        <v>#REF!</v>
      </c>
      <c r="H27" s="239" t="e">
        <f t="shared" si="6"/>
        <v>#REF!</v>
      </c>
      <c r="I27" s="234" t="e">
        <f t="shared" si="3"/>
        <v>#REF!</v>
      </c>
      <c r="J27" s="218">
        <v>43188</v>
      </c>
      <c r="K27" s="235">
        <v>207412.63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10"/>
        <v>#REF!</v>
      </c>
      <c r="D28" s="41">
        <v>10</v>
      </c>
      <c r="E28" s="243">
        <v>831467.64</v>
      </c>
      <c r="F28" s="42">
        <v>305</v>
      </c>
      <c r="G28" s="232" t="e">
        <f t="shared" si="5"/>
        <v>#REF!</v>
      </c>
      <c r="H28" s="239" t="e">
        <f t="shared" si="6"/>
        <v>#REF!</v>
      </c>
      <c r="I28" s="234" t="e">
        <f t="shared" si="3"/>
        <v>#REF!</v>
      </c>
      <c r="J28" s="218">
        <v>43251</v>
      </c>
      <c r="K28" s="235">
        <v>831467.64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10"/>
        <v>#REF!</v>
      </c>
      <c r="D29" s="41">
        <v>11</v>
      </c>
      <c r="E29" s="243">
        <v>992590.43</v>
      </c>
      <c r="F29" s="42">
        <v>335</v>
      </c>
      <c r="G29" s="232" t="e">
        <f t="shared" si="5"/>
        <v>#REF!</v>
      </c>
      <c r="H29" s="239" t="e">
        <f t="shared" si="6"/>
        <v>#REF!</v>
      </c>
      <c r="I29" s="234" t="e">
        <f t="shared" si="3"/>
        <v>#REF!</v>
      </c>
      <c r="J29" s="218">
        <v>43728</v>
      </c>
      <c r="K29" s="235">
        <v>992590.43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10"/>
        <v>#REF!</v>
      </c>
      <c r="D30" s="41">
        <v>12</v>
      </c>
      <c r="E30" s="243">
        <v>275912.2</v>
      </c>
      <c r="F30" s="42">
        <v>366</v>
      </c>
      <c r="G30" s="232" t="e">
        <f t="shared" si="5"/>
        <v>#REF!</v>
      </c>
      <c r="H30" s="239" t="e">
        <f t="shared" si="6"/>
        <v>#REF!</v>
      </c>
      <c r="I30" s="234" t="e">
        <f t="shared" si="3"/>
        <v>#REF!</v>
      </c>
      <c r="J30" s="218">
        <v>43763</v>
      </c>
      <c r="K30" s="235">
        <v>275912.2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10"/>
        <v>#REF!</v>
      </c>
      <c r="D31" s="41">
        <v>13</v>
      </c>
      <c r="E31" s="243">
        <v>353580.67</v>
      </c>
      <c r="F31" s="42">
        <v>397</v>
      </c>
      <c r="G31" s="232" t="e">
        <f t="shared" si="5"/>
        <v>#REF!</v>
      </c>
      <c r="H31" s="239" t="e">
        <f t="shared" si="6"/>
        <v>#REF!</v>
      </c>
      <c r="I31" s="234" t="e">
        <f t="shared" si="3"/>
        <v>#REF!</v>
      </c>
      <c r="J31" s="218">
        <v>43795</v>
      </c>
      <c r="K31" s="235">
        <v>353580.67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10"/>
        <v>#REF!</v>
      </c>
      <c r="D32" s="41">
        <v>14</v>
      </c>
      <c r="E32" s="243">
        <v>364950.93</v>
      </c>
      <c r="F32" s="42">
        <v>425</v>
      </c>
      <c r="G32" s="232" t="e">
        <f t="shared" si="5"/>
        <v>#REF!</v>
      </c>
      <c r="H32" s="239" t="e">
        <f t="shared" si="6"/>
        <v>#REF!</v>
      </c>
      <c r="I32" s="234" t="e">
        <f t="shared" si="3"/>
        <v>#REF!</v>
      </c>
      <c r="J32" s="218">
        <v>43819</v>
      </c>
      <c r="K32" s="235">
        <v>364950.93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10"/>
        <v>#REF!</v>
      </c>
      <c r="D33" s="41">
        <v>15</v>
      </c>
      <c r="E33" s="243">
        <v>58430.66</v>
      </c>
      <c r="F33" s="42">
        <v>456</v>
      </c>
      <c r="G33" s="232" t="e">
        <f t="shared" si="5"/>
        <v>#REF!</v>
      </c>
      <c r="H33" s="239" t="e">
        <f t="shared" si="6"/>
        <v>#REF!</v>
      </c>
      <c r="I33" s="234" t="e">
        <f t="shared" si="3"/>
        <v>#REF!</v>
      </c>
      <c r="J33" s="218">
        <v>43881</v>
      </c>
      <c r="K33" s="235">
        <v>58430.66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10"/>
        <v>#REF!</v>
      </c>
      <c r="D34" s="41">
        <v>16</v>
      </c>
      <c r="E34" s="243">
        <v>436414.73</v>
      </c>
      <c r="F34" s="42">
        <v>486</v>
      </c>
      <c r="G34" s="232" t="e">
        <f t="shared" si="5"/>
        <v>#REF!</v>
      </c>
      <c r="H34" s="239" t="e">
        <f t="shared" si="6"/>
        <v>#REF!</v>
      </c>
      <c r="I34" s="234" t="e">
        <f t="shared" si="3"/>
        <v>#REF!</v>
      </c>
      <c r="J34" s="218">
        <v>43850</v>
      </c>
      <c r="K34" s="235">
        <v>436414.73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10"/>
        <v>#REF!</v>
      </c>
      <c r="D35" s="41">
        <v>17</v>
      </c>
      <c r="E35" s="243"/>
      <c r="F35" s="42">
        <v>517</v>
      </c>
      <c r="G35" s="232" t="e">
        <f t="shared" si="5"/>
        <v>#REF!</v>
      </c>
      <c r="H35" s="239" t="e">
        <f t="shared" si="6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>
        <f t="shared" si="7"/>
        <v>0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>
        <v>58430.66</v>
      </c>
      <c r="C36" s="40">
        <f t="shared" si="10"/>
        <v>0</v>
      </c>
      <c r="D36" s="41">
        <v>18</v>
      </c>
      <c r="E36" s="243">
        <v>0</v>
      </c>
      <c r="F36" s="42">
        <f t="shared" ref="F36:F38" si="11">EOMONTH(F35,1)</f>
        <v>547</v>
      </c>
      <c r="G36" s="232" t="e">
        <f t="shared" si="5"/>
        <v>#REF!</v>
      </c>
      <c r="H36" s="239" t="e">
        <f t="shared" si="6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>
        <f t="shared" si="7"/>
        <v>0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>
        <v>436414.73</v>
      </c>
      <c r="C37" s="40">
        <f t="shared" si="10"/>
        <v>0</v>
      </c>
      <c r="D37" s="41">
        <v>19</v>
      </c>
      <c r="E37" s="231">
        <v>0</v>
      </c>
      <c r="F37" s="42">
        <f t="shared" si="11"/>
        <v>578</v>
      </c>
      <c r="G37" s="232" t="e">
        <f t="shared" si="5"/>
        <v>#REF!</v>
      </c>
      <c r="H37" s="239" t="e">
        <f t="shared" si="6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>
        <f t="shared" si="7"/>
        <v>0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>HLOOKUP($O$3,#REF!,21+A38,0)</f>
        <v>#REF!</v>
      </c>
      <c r="C38" s="40" t="e">
        <f t="shared" si="10"/>
        <v>#REF!</v>
      </c>
      <c r="D38" s="41">
        <v>20</v>
      </c>
      <c r="E38" s="243">
        <v>0</v>
      </c>
      <c r="F38" s="42">
        <f t="shared" si="11"/>
        <v>609</v>
      </c>
      <c r="G38" s="232" t="e">
        <f t="shared" si="5"/>
        <v>#REF!</v>
      </c>
      <c r="H38" s="239" t="e">
        <f t="shared" si="6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>
        <f t="shared" si="7"/>
        <v>0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>
        <f>SUM(E22:E38)</f>
        <v>4179881.0400000005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4179881.0400000005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>
        <f>E40-K40</f>
        <v>0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3">SUM(S22:S40)</f>
        <v>0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4">HLOOKUP($O$3,#REF!,116+D46,0)</f>
        <v>#REF!</v>
      </c>
      <c r="F46" s="68"/>
      <c r="G46" s="232" t="e">
        <f t="shared" ref="G46:G49" si="15">HLOOKUP($O$3,#REF!,121+D46,0)</f>
        <v>#REF!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>
        <v>44001</v>
      </c>
      <c r="K46" s="235">
        <v>147182.17000000001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4"/>
        <v>#REF!</v>
      </c>
      <c r="F47" s="69"/>
      <c r="G47" s="232" t="e">
        <f t="shared" si="15"/>
        <v>#REF!</v>
      </c>
      <c r="H47" s="239" t="e">
        <f t="shared" si="16"/>
        <v>#REF!</v>
      </c>
      <c r="I47" s="234" t="e">
        <f t="shared" si="17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4"/>
        <v>#REF!</v>
      </c>
      <c r="F48" s="69"/>
      <c r="G48" s="232" t="e">
        <f t="shared" si="15"/>
        <v>#REF!</v>
      </c>
      <c r="H48" s="239" t="e">
        <f t="shared" si="16"/>
        <v>#REF!</v>
      </c>
      <c r="I48" s="234" t="e">
        <f t="shared" si="17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4"/>
        <v>#REF!</v>
      </c>
      <c r="F49" s="69"/>
      <c r="G49" s="232" t="e">
        <f t="shared" si="15"/>
        <v>#REF!</v>
      </c>
      <c r="H49" s="239" t="e">
        <f t="shared" si="16"/>
        <v>#REF!</v>
      </c>
      <c r="I49" s="234" t="e">
        <f t="shared" si="17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147182.17000000001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19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19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19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19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0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0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0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0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7">
    <mergeCell ref="F41:H41"/>
    <mergeCell ref="L41:M41"/>
    <mergeCell ref="N41:O41"/>
    <mergeCell ref="D43:O43"/>
    <mergeCell ref="D44:F44"/>
    <mergeCell ref="G44:I44"/>
    <mergeCell ref="J44:O44"/>
    <mergeCell ref="J14:K14"/>
    <mergeCell ref="L14:M14"/>
    <mergeCell ref="N14:O14"/>
    <mergeCell ref="L40:M40"/>
    <mergeCell ref="N40:O40"/>
    <mergeCell ref="L12:M12"/>
    <mergeCell ref="N12:O12"/>
    <mergeCell ref="L19:M19"/>
    <mergeCell ref="N19:O19"/>
    <mergeCell ref="Q19:T19"/>
    <mergeCell ref="L15:M15"/>
    <mergeCell ref="N15:O15"/>
    <mergeCell ref="D17:O17"/>
    <mergeCell ref="D18:F18"/>
    <mergeCell ref="G18:I18"/>
    <mergeCell ref="J18:O18"/>
    <mergeCell ref="J19:K19"/>
    <mergeCell ref="J12:K12"/>
    <mergeCell ref="J13:K13"/>
    <mergeCell ref="L13:M13"/>
    <mergeCell ref="N13:O13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270" priority="1">
      <formula>IF(TODAY()&gt;=E5+355,1,0)</formula>
    </cfRule>
  </conditionalFormatting>
  <conditionalFormatting sqref="E22:E42 E45:E53 E56:E64 E67:E71">
    <cfRule type="expression" dxfId="269" priority="2">
      <formula>IF(K22:K71="DEV",1,IF(K22:K71="no pago",1,0))</formula>
    </cfRule>
  </conditionalFormatting>
  <conditionalFormatting sqref="G22:G40 G42 G44:G51 G53 G55:G64 G66:G71">
    <cfRule type="expression" dxfId="268" priority="3">
      <formula>IF(M22:M71="DEV",1,IF(M22:M71="no pago",1,0))</formula>
    </cfRule>
  </conditionalFormatting>
  <conditionalFormatting sqref="H22:H40 H42 H45:H51 H53 H56:H64 H67:H71">
    <cfRule type="expression" dxfId="267" priority="4">
      <formula>IF(O22:O71="DEV",1,IF(O22:O71="no pago",1,0))</formula>
    </cfRule>
  </conditionalFormatting>
  <conditionalFormatting sqref="K20:K38">
    <cfRule type="cellIs" dxfId="266" priority="5" operator="lessThan">
      <formula>E20:E28</formula>
    </cfRule>
  </conditionalFormatting>
  <conditionalFormatting sqref="K46:K49 K68:K71">
    <cfRule type="cellIs" dxfId="265" priority="6" operator="lessThan">
      <formula>E46:E49</formula>
    </cfRule>
  </conditionalFormatting>
  <conditionalFormatting sqref="K57:K60">
    <cfRule type="cellIs" dxfId="264" priority="7" operator="lessThan">
      <formula>E57:E60</formula>
    </cfRule>
  </conditionalFormatting>
  <conditionalFormatting sqref="K68:K71">
    <cfRule type="cellIs" dxfId="263" priority="8" operator="lessThan">
      <formula>E68:E71</formula>
    </cfRule>
  </conditionalFormatting>
  <conditionalFormatting sqref="J20:O39 J46:O49 J57:O60 J68:O71">
    <cfRule type="cellIs" dxfId="262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261" priority="10" operator="equal">
      <formula>"DEV"</formula>
    </cfRule>
  </conditionalFormatting>
  <conditionalFormatting sqref="K20:K38 K46:K49 K57:K60 K68:K71 K80:K82 M20:M38 M46:M49 M57:M60 M68:M71 O20:O38 O46:O49 O57:O60 O68:O71">
    <cfRule type="cellIs" dxfId="260" priority="11" operator="equal">
      <formula>"no pago"</formula>
    </cfRule>
  </conditionalFormatting>
  <conditionalFormatting sqref="B1:D1 B2:E2">
    <cfRule type="expression" dxfId="259" priority="12">
      <formula>$E$1="NO"</formula>
    </cfRule>
  </conditionalFormatting>
  <conditionalFormatting sqref="B1:D1 B2:E2">
    <cfRule type="expression" dxfId="258" priority="13">
      <formula>$E$1="SI"</formula>
    </cfRule>
  </conditionalFormatting>
  <conditionalFormatting sqref="F1">
    <cfRule type="expression" dxfId="257" priority="14">
      <formula>$E$1="NO"</formula>
    </cfRule>
  </conditionalFormatting>
  <conditionalFormatting sqref="F1">
    <cfRule type="expression" dxfId="256" priority="15">
      <formula>$E$1="SI"</formula>
    </cfRule>
  </conditionalFormatting>
  <conditionalFormatting sqref="N7:O8">
    <cfRule type="cellIs" dxfId="255" priority="16" operator="equal">
      <formula>"PARALIZADA"</formula>
    </cfRule>
  </conditionalFormatting>
  <conditionalFormatting sqref="N7:O8">
    <cfRule type="cellIs" dxfId="254" priority="17" operator="equal">
      <formula>"EN EJECUCION"</formula>
    </cfRule>
  </conditionalFormatting>
  <conditionalFormatting sqref="N7:O8">
    <cfRule type="cellIs" dxfId="253" priority="18" operator="equal">
      <formula>"TERMINADA"</formula>
    </cfRule>
  </conditionalFormatting>
  <conditionalFormatting sqref="N7:O8">
    <cfRule type="cellIs" dxfId="252" priority="19" operator="equal">
      <formula>"COMPLETADA"</formula>
    </cfRule>
  </conditionalFormatting>
  <hyperlinks>
    <hyperlink ref="O1" location="null!A1" display="&lt; VOLVER" xr:uid="{00000000-0004-0000-0E00-000000000000}"/>
    <hyperlink ref="Q3" location="null!A1" display="'BASE DATOS'!A1" xr:uid="{00000000-0004-0000-0E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25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117</v>
      </c>
      <c r="E5" s="90">
        <v>43987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4114495</v>
      </c>
      <c r="H13" s="22">
        <f>K51</f>
        <v>436600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43627</v>
      </c>
      <c r="K22" s="252">
        <v>2870683.16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>
        <v>43686</v>
      </c>
      <c r="K23" s="235">
        <v>1243811.8400000001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 t="s">
        <v>77</v>
      </c>
      <c r="K24" s="235" t="s">
        <v>77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77</v>
      </c>
      <c r="K25" s="235" t="s">
        <v>77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88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4114495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>
        <v>43763</v>
      </c>
      <c r="K46" s="235">
        <v>436600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436600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251" priority="1">
      <formula>IF(TODAY()&gt;=E5+355,1,0)</formula>
    </cfRule>
  </conditionalFormatting>
  <conditionalFormatting sqref="E22:E42 E45:E53 E56:E64 E67:E71">
    <cfRule type="expression" dxfId="250" priority="2">
      <formula>IF(K22:K71="DEV",1,IF(K22:K71="no pago",1,0))</formula>
    </cfRule>
  </conditionalFormatting>
  <conditionalFormatting sqref="G22:G40 G42 G44:G51 G53 G55:G64 G66:G71">
    <cfRule type="expression" dxfId="249" priority="3">
      <formula>IF(M22:M71="DEV",1,IF(M22:M71="no pago",1,0))</formula>
    </cfRule>
  </conditionalFormatting>
  <conditionalFormatting sqref="H22:H40 H42 H45:H51 H53 H56:H64 H67:H71">
    <cfRule type="expression" dxfId="248" priority="4">
      <formula>IF(O22:O71="DEV",1,IF(O22:O71="no pago",1,0))</formula>
    </cfRule>
  </conditionalFormatting>
  <conditionalFormatting sqref="K20:K38">
    <cfRule type="cellIs" dxfId="247" priority="5" operator="lessThan">
      <formula>E20:E28</formula>
    </cfRule>
  </conditionalFormatting>
  <conditionalFormatting sqref="K46:K49 K68:K71">
    <cfRule type="cellIs" dxfId="246" priority="6" operator="lessThan">
      <formula>E46:E49</formula>
    </cfRule>
  </conditionalFormatting>
  <conditionalFormatting sqref="K57:K60">
    <cfRule type="cellIs" dxfId="245" priority="7" operator="lessThan">
      <formula>E57:E60</formula>
    </cfRule>
  </conditionalFormatting>
  <conditionalFormatting sqref="K68:K71">
    <cfRule type="cellIs" dxfId="244" priority="8" operator="lessThan">
      <formula>E68:E71</formula>
    </cfRule>
  </conditionalFormatting>
  <conditionalFormatting sqref="J20:O39 J46:O49 J57:O60 J68:O71">
    <cfRule type="cellIs" dxfId="243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242" priority="10" operator="equal">
      <formula>"DEV"</formula>
    </cfRule>
  </conditionalFormatting>
  <conditionalFormatting sqref="K20:K38 K46:K49 K57:K60 K68:K71 K80:K82 M20:M38 M46:M49 M57:M60 M68:M71 O20:O38 O46:O49 O57:O60 O68:O71">
    <cfRule type="cellIs" dxfId="241" priority="11" operator="equal">
      <formula>"no pago"</formula>
    </cfRule>
  </conditionalFormatting>
  <conditionalFormatting sqref="B1:D1 B2:E2">
    <cfRule type="expression" dxfId="240" priority="12">
      <formula>$E$1="NO"</formula>
    </cfRule>
  </conditionalFormatting>
  <conditionalFormatting sqref="B1:D1 B2:E2">
    <cfRule type="expression" dxfId="239" priority="13">
      <formula>$E$1="SI"</formula>
    </cfRule>
  </conditionalFormatting>
  <conditionalFormatting sqref="F1">
    <cfRule type="expression" dxfId="238" priority="14">
      <formula>$E$1="NO"</formula>
    </cfRule>
  </conditionalFormatting>
  <conditionalFormatting sqref="F1">
    <cfRule type="expression" dxfId="237" priority="15">
      <formula>$E$1="SI"</formula>
    </cfRule>
  </conditionalFormatting>
  <conditionalFormatting sqref="N7:O8">
    <cfRule type="cellIs" dxfId="236" priority="16" operator="equal">
      <formula>"PARALIZADA"</formula>
    </cfRule>
  </conditionalFormatting>
  <conditionalFormatting sqref="N7:O8">
    <cfRule type="cellIs" dxfId="235" priority="17" operator="equal">
      <formula>"EN EJECUCION"</formula>
    </cfRule>
  </conditionalFormatting>
  <conditionalFormatting sqref="N7:O8">
    <cfRule type="cellIs" dxfId="234" priority="18" operator="equal">
      <formula>"TERMINADA"</formula>
    </cfRule>
  </conditionalFormatting>
  <conditionalFormatting sqref="N7:O8">
    <cfRule type="cellIs" dxfId="233" priority="19" operator="equal">
      <formula>"COMPLETADA"</formula>
    </cfRule>
  </conditionalFormatting>
  <hyperlinks>
    <hyperlink ref="O1" location="null!A1" display="&lt; VOLVER" xr:uid="{00000000-0004-0000-0F00-000000000000}"/>
    <hyperlink ref="Q3" location="null!A1" display="'BASE DATOS'!A1" xr:uid="{00000000-0004-0000-0F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26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2165087.63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>
        <f>E41</f>
        <v>0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>
        <v>43585</v>
      </c>
      <c r="K20" s="219">
        <v>927900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54</v>
      </c>
      <c r="K21" s="227" t="s">
        <v>54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43635</v>
      </c>
      <c r="K22" s="252">
        <v>1022347.85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>
        <v>43755</v>
      </c>
      <c r="K23" s="235">
        <v>988089.78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>
        <v>43811</v>
      </c>
      <c r="K24" s="235">
        <v>154650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77</v>
      </c>
      <c r="K25" s="235" t="s">
        <v>77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42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2165087.63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>
        <v>0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 t="s">
        <v>77</v>
      </c>
      <c r="K46" s="235" t="s">
        <v>77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232" priority="1">
      <formula>IF(TODAY()&gt;=E5+355,1,0)</formula>
    </cfRule>
  </conditionalFormatting>
  <conditionalFormatting sqref="E22:E42 E45:E53 E56:E64 E67:E71">
    <cfRule type="expression" dxfId="231" priority="2">
      <formula>IF(K22:K71="DEV",1,IF(K22:K71="no pago",1,0))</formula>
    </cfRule>
  </conditionalFormatting>
  <conditionalFormatting sqref="G22:G40 G42 G44:G51 G53 G55:G64 G66:G71">
    <cfRule type="expression" dxfId="230" priority="3">
      <formula>IF(M22:M71="DEV",1,IF(M22:M71="no pago",1,0))</formula>
    </cfRule>
  </conditionalFormatting>
  <conditionalFormatting sqref="H22:H40 H42 H45:H51 H53 H56:H64 H67:H71">
    <cfRule type="expression" dxfId="229" priority="4">
      <formula>IF(O22:O71="DEV",1,IF(O22:O71="no pago",1,0))</formula>
    </cfRule>
  </conditionalFormatting>
  <conditionalFormatting sqref="K20:K38">
    <cfRule type="cellIs" dxfId="228" priority="5" operator="lessThan">
      <formula>E20:E28</formula>
    </cfRule>
  </conditionalFormatting>
  <conditionalFormatting sqref="K46:K49 K68:K71">
    <cfRule type="cellIs" dxfId="227" priority="6" operator="lessThan">
      <formula>E46:E49</formula>
    </cfRule>
  </conditionalFormatting>
  <conditionalFormatting sqref="K57:K60">
    <cfRule type="cellIs" dxfId="226" priority="7" operator="lessThan">
      <formula>E57:E60</formula>
    </cfRule>
  </conditionalFormatting>
  <conditionalFormatting sqref="K68:K71">
    <cfRule type="cellIs" dxfId="225" priority="8" operator="lessThan">
      <formula>E68:E71</formula>
    </cfRule>
  </conditionalFormatting>
  <conditionalFormatting sqref="J20:O39 J46:O49 J57:O60 J68:O71">
    <cfRule type="cellIs" dxfId="224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223" priority="10" operator="equal">
      <formula>"DEV"</formula>
    </cfRule>
  </conditionalFormatting>
  <conditionalFormatting sqref="K20:K38 K46:K49 K57:K60 K68:K71 K80:K82 M20:M38 M46:M49 M57:M60 M68:M71 O20:O38 O46:O49 O57:O60 O68:O71">
    <cfRule type="cellIs" dxfId="222" priority="11" operator="equal">
      <formula>"no pago"</formula>
    </cfRule>
  </conditionalFormatting>
  <conditionalFormatting sqref="B1:D1 B2:E2">
    <cfRule type="expression" dxfId="221" priority="12">
      <formula>$E$1="NO"</formula>
    </cfRule>
  </conditionalFormatting>
  <conditionalFormatting sqref="B1:D1 B2:E2">
    <cfRule type="expression" dxfId="220" priority="13">
      <formula>$E$1="SI"</formula>
    </cfRule>
  </conditionalFormatting>
  <conditionalFormatting sqref="F1">
    <cfRule type="expression" dxfId="219" priority="14">
      <formula>$E$1="NO"</formula>
    </cfRule>
  </conditionalFormatting>
  <conditionalFormatting sqref="F1">
    <cfRule type="expression" dxfId="218" priority="15">
      <formula>$E$1="SI"</formula>
    </cfRule>
  </conditionalFormatting>
  <conditionalFormatting sqref="N7:O8">
    <cfRule type="cellIs" dxfId="217" priority="16" operator="equal">
      <formula>"PARALIZADA"</formula>
    </cfRule>
  </conditionalFormatting>
  <conditionalFormatting sqref="N7:O8">
    <cfRule type="cellIs" dxfId="216" priority="17" operator="equal">
      <formula>"EN EJECUCION"</formula>
    </cfRule>
  </conditionalFormatting>
  <conditionalFormatting sqref="N7:O8">
    <cfRule type="cellIs" dxfId="215" priority="18" operator="equal">
      <formula>"TERMINADA"</formula>
    </cfRule>
  </conditionalFormatting>
  <conditionalFormatting sqref="N7:O8">
    <cfRule type="cellIs" dxfId="214" priority="19" operator="equal">
      <formula>"COMPLETADA"</formula>
    </cfRule>
  </conditionalFormatting>
  <hyperlinks>
    <hyperlink ref="O1" location="null!A1" display="&lt; VOLVER" xr:uid="{00000000-0004-0000-1000-000000000000}"/>
    <hyperlink ref="Q3" location="null!A1" display="'BASE DATOS'!A1" xr:uid="{00000000-0004-0000-10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27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>
        <v>1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2487969.2140000002</v>
      </c>
      <c r="H13" s="22">
        <f>K51</f>
        <v>0</v>
      </c>
      <c r="I13" s="203">
        <f>L40+N40+L51+N51</f>
        <v>0</v>
      </c>
      <c r="J13" s="340">
        <f>K62</f>
        <v>533518.87489999994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>
        <f>E41</f>
        <v>0</v>
      </c>
      <c r="H15" s="206" t="e">
        <f>H11-H12</f>
        <v>#REF!</v>
      </c>
      <c r="I15" s="25" t="e">
        <f>U41+(G15+H15)*Q39</f>
        <v>#REF!</v>
      </c>
      <c r="J15" s="351" t="e">
        <f>J11-J12</f>
        <v>#REF!</v>
      </c>
      <c r="K15" s="384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>
        <v>43635</v>
      </c>
      <c r="K20" s="219">
        <v>1066263.95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54</v>
      </c>
      <c r="K21" s="227" t="s">
        <v>54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43707</v>
      </c>
      <c r="K22" s="252">
        <v>439123.03399999999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>
        <v>43763</v>
      </c>
      <c r="K23" s="235">
        <v>1347244.5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>
        <v>43833</v>
      </c>
      <c r="K24" s="235">
        <v>663660.44999999995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>
        <v>43901</v>
      </c>
      <c r="K25" s="235">
        <v>37941.230000000003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88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2487969.2140000002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>
        <v>0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 t="s">
        <v>77</v>
      </c>
      <c r="K46" s="235" t="s">
        <v>77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>
        <v>43963</v>
      </c>
      <c r="K57" s="235">
        <v>533518.87489999994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533518.87489999994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213" priority="1">
      <formula>IF(TODAY()&gt;=E5+355,1,0)</formula>
    </cfRule>
  </conditionalFormatting>
  <conditionalFormatting sqref="E22:E42 E45:E53 E56:E64 E67:E71">
    <cfRule type="expression" dxfId="212" priority="2">
      <formula>IF(K22:K71="DEV",1,IF(K22:K71="no pago",1,0))</formula>
    </cfRule>
  </conditionalFormatting>
  <conditionalFormatting sqref="G22:G40 G42 G44:G51 G53 G55:G64 G66:G71">
    <cfRule type="expression" dxfId="211" priority="3">
      <formula>IF(M22:M71="DEV",1,IF(M22:M71="no pago",1,0))</formula>
    </cfRule>
  </conditionalFormatting>
  <conditionalFormatting sqref="H22:H40 H42 H45:H51 H53 H56:H64 H67:H71">
    <cfRule type="expression" dxfId="210" priority="4">
      <formula>IF(O22:O71="DEV",1,IF(O22:O71="no pago",1,0))</formula>
    </cfRule>
  </conditionalFormatting>
  <conditionalFormatting sqref="K20:K38">
    <cfRule type="cellIs" dxfId="209" priority="5" operator="lessThan">
      <formula>E20:E28</formula>
    </cfRule>
  </conditionalFormatting>
  <conditionalFormatting sqref="K46:K49 K68:K71">
    <cfRule type="cellIs" dxfId="208" priority="6" operator="lessThan">
      <formula>E46:E49</formula>
    </cfRule>
  </conditionalFormatting>
  <conditionalFormatting sqref="K57:K60">
    <cfRule type="cellIs" dxfId="207" priority="7" operator="lessThan">
      <formula>E57:E60</formula>
    </cfRule>
  </conditionalFormatting>
  <conditionalFormatting sqref="K68:K71">
    <cfRule type="cellIs" dxfId="206" priority="8" operator="lessThan">
      <formula>E68:E71</formula>
    </cfRule>
  </conditionalFormatting>
  <conditionalFormatting sqref="J20:O39 J46:O49 J57:O60 J68:O71">
    <cfRule type="cellIs" dxfId="205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204" priority="10" operator="equal">
      <formula>"DEV"</formula>
    </cfRule>
  </conditionalFormatting>
  <conditionalFormatting sqref="K20:K38 K46:K49 K57:K60 K68:K71 K80:K82 M20:M38 M46:M49 M57:M60 M68:M71 O20:O38 O46:O49 O57:O60 O68:O71">
    <cfRule type="cellIs" dxfId="203" priority="11" operator="equal">
      <formula>"no pago"</formula>
    </cfRule>
  </conditionalFormatting>
  <conditionalFormatting sqref="B1:D1 B2:E2">
    <cfRule type="expression" dxfId="202" priority="12">
      <formula>$E$1="NO"</formula>
    </cfRule>
  </conditionalFormatting>
  <conditionalFormatting sqref="B1:D1 B2:E2">
    <cfRule type="expression" dxfId="201" priority="13">
      <formula>$E$1="SI"</formula>
    </cfRule>
  </conditionalFormatting>
  <conditionalFormatting sqref="F1">
    <cfRule type="expression" dxfId="200" priority="14">
      <formula>$E$1="NO"</formula>
    </cfRule>
  </conditionalFormatting>
  <conditionalFormatting sqref="F1">
    <cfRule type="expression" dxfId="199" priority="15">
      <formula>$E$1="SI"</formula>
    </cfRule>
  </conditionalFormatting>
  <conditionalFormatting sqref="N7:O8">
    <cfRule type="cellIs" dxfId="198" priority="16" operator="equal">
      <formula>"PARALIZADA"</formula>
    </cfRule>
  </conditionalFormatting>
  <conditionalFormatting sqref="N7:O8">
    <cfRule type="cellIs" dxfId="197" priority="17" operator="equal">
      <formula>"EN EJECUCION"</formula>
    </cfRule>
  </conditionalFormatting>
  <conditionalFormatting sqref="N7:O8">
    <cfRule type="cellIs" dxfId="196" priority="18" operator="equal">
      <formula>"TERMINADA"</formula>
    </cfRule>
  </conditionalFormatting>
  <conditionalFormatting sqref="N7:O8">
    <cfRule type="cellIs" dxfId="195" priority="19" operator="equal">
      <formula>"COMPLETADA"</formula>
    </cfRule>
  </conditionalFormatting>
  <hyperlinks>
    <hyperlink ref="O1" location="null!A1" display="&lt; VOLVER" xr:uid="{00000000-0004-0000-1100-000000000000}"/>
    <hyperlink ref="Q3" location="null!A1" display="'BASE DATOS'!A1" xr:uid="{00000000-0004-0000-11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28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69</v>
      </c>
      <c r="E5" s="118" t="s">
        <v>118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>
        <v>43564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12567855.619999999</v>
      </c>
      <c r="H13" s="22">
        <f>K51</f>
        <v>1361199.85</v>
      </c>
      <c r="I13" s="203">
        <f>L40+N40+L51+N51</f>
        <v>1622226.5199999998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>
        <f>E41</f>
        <v>0</v>
      </c>
      <c r="H15" s="206" t="e">
        <f>H11-H12</f>
        <v>#REF!</v>
      </c>
      <c r="I15" s="25" t="e">
        <f>U41+(G15+H15)*Q39</f>
        <v>#REF!</v>
      </c>
      <c r="J15" s="351" t="e">
        <f>J11-J12</f>
        <v>#REF!</v>
      </c>
      <c r="K15" s="384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29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43579</v>
      </c>
      <c r="K22" s="252">
        <v>2198555.9500000002</v>
      </c>
      <c r="L22" s="236" t="s">
        <v>77</v>
      </c>
      <c r="M22" s="237" t="s">
        <v>77</v>
      </c>
      <c r="N22" s="238">
        <v>43909</v>
      </c>
      <c r="O22" s="43">
        <v>91257.95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>
        <v>43629</v>
      </c>
      <c r="K23" s="235">
        <v>3332727.63</v>
      </c>
      <c r="L23" s="236" t="s">
        <v>77</v>
      </c>
      <c r="M23" s="237" t="s">
        <v>77</v>
      </c>
      <c r="N23" s="238">
        <v>43941</v>
      </c>
      <c r="O23" s="43">
        <v>312041.43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>
        <v>43650</v>
      </c>
      <c r="K24" s="235">
        <v>6091713.9199999999</v>
      </c>
      <c r="L24" s="236" t="s">
        <v>77</v>
      </c>
      <c r="M24" s="237" t="s">
        <v>77</v>
      </c>
      <c r="N24" s="238">
        <v>43941</v>
      </c>
      <c r="O24" s="43">
        <v>984889.71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77</v>
      </c>
      <c r="K25" s="235" t="s">
        <v>77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>
        <v>43901</v>
      </c>
      <c r="K29" s="235">
        <v>944858.12</v>
      </c>
      <c r="L29" s="240">
        <v>43957</v>
      </c>
      <c r="M29" s="237">
        <v>234037.43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>
        <v>0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>
        <f t="shared" si="9"/>
        <v>0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ref="E31:E38" si="13">HLOOKUP($O$3,#REF!,42+D31,0)</f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13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13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13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13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13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13"/>
        <v>#REF!</v>
      </c>
      <c r="F37" s="88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13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4">SUM(H22:H38)</f>
        <v>#REF!</v>
      </c>
      <c r="I40" s="50" t="e">
        <f t="shared" si="14"/>
        <v>#REF!</v>
      </c>
      <c r="J40" s="51" t="s">
        <v>29</v>
      </c>
      <c r="K40" s="52">
        <f>SUM(K22:K39)</f>
        <v>12567855.619999999</v>
      </c>
      <c r="L40" s="312">
        <f>SUM(M22:M38)</f>
        <v>234037.43</v>
      </c>
      <c r="M40" s="376"/>
      <c r="N40" s="310">
        <f>SUM(O22:O38)</f>
        <v>1388189.0899999999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>
        <v>0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5">SUM(S22:S40)</f>
        <v>0</v>
      </c>
      <c r="T41" s="4" t="e">
        <f t="shared" si="15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>
        <v>1361199.85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51">
        <v>44056</v>
      </c>
      <c r="K46" s="252">
        <v>1361199.85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ref="E47:E49" si="19">HLOOKUP($O$3,#REF!,116+D47,0)</f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9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9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0">SUM(G46:G50)</f>
        <v>#REF!</v>
      </c>
      <c r="H51" s="49" t="e">
        <f t="shared" si="20"/>
        <v>#REF!</v>
      </c>
      <c r="I51" s="50" t="e">
        <f t="shared" si="20"/>
        <v>#REF!</v>
      </c>
      <c r="J51" s="51" t="s">
        <v>29</v>
      </c>
      <c r="K51" s="52">
        <f>SUM(K46:K50)</f>
        <v>1361199.85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1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1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1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1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2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2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2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2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194" priority="1">
      <formula>IF(TODAY()&gt;=E5+355,1,0)</formula>
    </cfRule>
  </conditionalFormatting>
  <conditionalFormatting sqref="E22:E42 E45:E53 E56:E64 E67:E71">
    <cfRule type="expression" dxfId="193" priority="2">
      <formula>IF(K22:K71="DEV",1,IF(K22:K71="no pago",1,0))</formula>
    </cfRule>
  </conditionalFormatting>
  <conditionalFormatting sqref="G22:G40 G42 G44:G51 G53 G55:G64 G66:G71">
    <cfRule type="expression" dxfId="192" priority="3">
      <formula>IF(M22:M71="DEV",1,IF(M22:M71="no pago",1,0))</formula>
    </cfRule>
  </conditionalFormatting>
  <conditionalFormatting sqref="H22:H40 H42 H45:H51 H53 H56:H64 H67:H71">
    <cfRule type="expression" dxfId="191" priority="4">
      <formula>IF(O22:O71="DEV",1,IF(O22:O71="no pago",1,0))</formula>
    </cfRule>
  </conditionalFormatting>
  <conditionalFormatting sqref="K20:K38">
    <cfRule type="cellIs" dxfId="190" priority="5" operator="lessThan">
      <formula>E20:E28</formula>
    </cfRule>
  </conditionalFormatting>
  <conditionalFormatting sqref="K46:K49 K68:K71">
    <cfRule type="cellIs" dxfId="189" priority="6" operator="lessThan">
      <formula>E46:E49</formula>
    </cfRule>
  </conditionalFormatting>
  <conditionalFormatting sqref="K57:K60">
    <cfRule type="cellIs" dxfId="188" priority="7" operator="lessThan">
      <formula>E57:E60</formula>
    </cfRule>
  </conditionalFormatting>
  <conditionalFormatting sqref="K68:K71">
    <cfRule type="cellIs" dxfId="187" priority="8" operator="lessThan">
      <formula>E68:E71</formula>
    </cfRule>
  </conditionalFormatting>
  <conditionalFormatting sqref="J20:O39 J46:O49 J57:O60 J68:O71">
    <cfRule type="cellIs" dxfId="186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185" priority="10" operator="equal">
      <formula>"DEV"</formula>
    </cfRule>
  </conditionalFormatting>
  <conditionalFormatting sqref="K20:K38 K46:K49 K57:K60 K68:K71 K80:K82 M20:M38 M46:M49 M57:M60 M68:M71 O20:O38 O46:O49 O57:O60 O68:O71">
    <cfRule type="cellIs" dxfId="184" priority="11" operator="equal">
      <formula>"no pago"</formula>
    </cfRule>
  </conditionalFormatting>
  <conditionalFormatting sqref="B1:D1 B2:E2">
    <cfRule type="expression" dxfId="183" priority="12">
      <formula>$E$1="NO"</formula>
    </cfRule>
  </conditionalFormatting>
  <conditionalFormatting sqref="B1:D1 B2:E2">
    <cfRule type="expression" dxfId="182" priority="13">
      <formula>$E$1="SI"</formula>
    </cfRule>
  </conditionalFormatting>
  <conditionalFormatting sqref="F1">
    <cfRule type="expression" dxfId="181" priority="14">
      <formula>$E$1="NO"</formula>
    </cfRule>
  </conditionalFormatting>
  <conditionalFormatting sqref="F1">
    <cfRule type="expression" dxfId="180" priority="15">
      <formula>$E$1="SI"</formula>
    </cfRule>
  </conditionalFormatting>
  <conditionalFormatting sqref="N7:O8">
    <cfRule type="cellIs" dxfId="179" priority="16" operator="equal">
      <formula>"PARALIZADA"</formula>
    </cfRule>
  </conditionalFormatting>
  <conditionalFormatting sqref="N7:O8">
    <cfRule type="cellIs" dxfId="178" priority="17" operator="equal">
      <formula>"EN EJECUCION"</formula>
    </cfRule>
  </conditionalFormatting>
  <conditionalFormatting sqref="N7:O8">
    <cfRule type="cellIs" dxfId="177" priority="18" operator="equal">
      <formula>"TERMINADA"</formula>
    </cfRule>
  </conditionalFormatting>
  <conditionalFormatting sqref="N7:O8">
    <cfRule type="cellIs" dxfId="176" priority="19" operator="equal">
      <formula>"COMPLETADA"</formula>
    </cfRule>
  </conditionalFormatting>
  <hyperlinks>
    <hyperlink ref="O1" location="null!A1" display="&lt; VOLVER" xr:uid="{00000000-0004-0000-1200-000000000000}"/>
    <hyperlink ref="Q3" location="null!A1" display="'BASE DATOS'!A1" xr:uid="{00000000-0004-0000-12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1406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65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34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5</v>
      </c>
      <c r="E5" s="11">
        <v>44361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15">
        <v>60</v>
      </c>
      <c r="F7" s="193" t="s">
        <v>12</v>
      </c>
      <c r="G7" s="16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7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/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>
        <f>E20</f>
        <v>979414.62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>
        <f>IF(E12&lt;&gt;K20,0,K20)</f>
        <v>979414.62</v>
      </c>
      <c r="F13" s="22" t="e">
        <f>IF(F12&lt;&gt;K21,0,K21)</f>
        <v>#REF!</v>
      </c>
      <c r="G13" s="202">
        <f>K40</f>
        <v>5550016.4800000004</v>
      </c>
      <c r="H13" s="22">
        <f>K51</f>
        <v>1238245.69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>
        <f t="shared" ref="E14:J14" si="1">E12-E13</f>
        <v>0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>
        <v>0</v>
      </c>
      <c r="F15" s="206" t="e">
        <f>F11-F12</f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>
        <v>979414.62</v>
      </c>
      <c r="F20" s="32" t="s">
        <v>45</v>
      </c>
      <c r="G20" s="216">
        <v>0</v>
      </c>
      <c r="H20" s="217">
        <v>0</v>
      </c>
      <c r="I20" s="33">
        <f t="shared" ref="I20:I38" si="2">SUM(G20:H20)</f>
        <v>0</v>
      </c>
      <c r="J20" s="218">
        <v>44260</v>
      </c>
      <c r="K20" s="219">
        <v>979414.62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2"/>
        <v>#REF!</v>
      </c>
      <c r="J21" s="37" t="s">
        <v>54</v>
      </c>
      <c r="K21" s="227" t="s">
        <v>54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>
        <f t="shared" ref="B22:B26" si="3">E22/0.85</f>
        <v>753145.30588235299</v>
      </c>
      <c r="C22" s="40">
        <f t="shared" ref="C22:C38" si="4">IF(B22&lt;&gt;"",,A22)</f>
        <v>0</v>
      </c>
      <c r="D22" s="41">
        <v>1</v>
      </c>
      <c r="E22" s="231">
        <v>640173.51</v>
      </c>
      <c r="F22" s="42" t="e">
        <f>IF(E22=0,0,$G$7)</f>
        <v>#REF!</v>
      </c>
      <c r="G22" s="197" t="e">
        <f t="shared" ref="G22:G38" si="5">HLOOKUP($O$3,#REF!,63+D22,0)</f>
        <v>#REF!</v>
      </c>
      <c r="H22" s="233" t="e">
        <f t="shared" ref="H22:H38" si="6">HLOOKUP($O$3,#REF!,84+D22,0)</f>
        <v>#REF!</v>
      </c>
      <c r="I22" s="234" t="e">
        <f t="shared" si="2"/>
        <v>#REF!</v>
      </c>
      <c r="J22" s="218">
        <v>44319</v>
      </c>
      <c r="K22" s="235">
        <v>640173.51</v>
      </c>
      <c r="L22" s="236" t="s">
        <v>45</v>
      </c>
      <c r="M22" s="237" t="s">
        <v>46</v>
      </c>
      <c r="N22" s="238" t="s">
        <v>45</v>
      </c>
      <c r="O22" s="43" t="s">
        <v>46</v>
      </c>
      <c r="P22" s="1"/>
      <c r="Q22" s="44" t="e">
        <f t="shared" ref="Q22:Q38" si="7">IF(E22=0,,I22/E22)</f>
        <v>#REF!</v>
      </c>
      <c r="R22" s="1"/>
      <c r="S22" s="4" t="e">
        <f t="shared" ref="S22:S38" si="8">IF(O22="sin certificar",(E22*$Q$39)-I22,0)</f>
        <v>#REF!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>
        <f t="shared" si="3"/>
        <v>2425646.0235294118</v>
      </c>
      <c r="C23" s="40">
        <f t="shared" si="4"/>
        <v>0</v>
      </c>
      <c r="D23" s="41">
        <v>2</v>
      </c>
      <c r="E23" s="231">
        <v>2061799.12</v>
      </c>
      <c r="F23" s="42" t="e">
        <f t="shared" ref="F23:F38" si="10">IF($G$15=0&amp;E23=0,0,EOMONTH(F22,1))</f>
        <v>#REF!</v>
      </c>
      <c r="G23" s="232" t="e">
        <f t="shared" si="5"/>
        <v>#REF!</v>
      </c>
      <c r="H23" s="233" t="e">
        <f t="shared" si="6"/>
        <v>#REF!</v>
      </c>
      <c r="I23" s="234" t="e">
        <f t="shared" si="2"/>
        <v>#REF!</v>
      </c>
      <c r="J23" s="218">
        <v>44358</v>
      </c>
      <c r="K23" s="235">
        <v>2061799.12</v>
      </c>
      <c r="L23" s="236" t="s">
        <v>45</v>
      </c>
      <c r="M23" s="237" t="s">
        <v>46</v>
      </c>
      <c r="N23" s="238" t="s">
        <v>45</v>
      </c>
      <c r="O23" s="43" t="s">
        <v>46</v>
      </c>
      <c r="P23" s="1"/>
      <c r="Q23" s="44" t="e">
        <f t="shared" si="7"/>
        <v>#REF!</v>
      </c>
      <c r="R23" s="1"/>
      <c r="S23" s="4" t="e">
        <f t="shared" si="8"/>
        <v>#REF!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>
        <f t="shared" si="3"/>
        <v>2602800.0235294118</v>
      </c>
      <c r="C24" s="40">
        <f t="shared" si="4"/>
        <v>0</v>
      </c>
      <c r="D24" s="41">
        <v>3</v>
      </c>
      <c r="E24" s="231">
        <v>2212380.02</v>
      </c>
      <c r="F24" s="42" t="e">
        <f t="shared" si="10"/>
        <v>#REF!</v>
      </c>
      <c r="G24" s="232" t="e">
        <f t="shared" si="5"/>
        <v>#REF!</v>
      </c>
      <c r="H24" s="233" t="e">
        <f t="shared" si="6"/>
        <v>#REF!</v>
      </c>
      <c r="I24" s="234" t="e">
        <f t="shared" si="2"/>
        <v>#REF!</v>
      </c>
      <c r="J24" s="218">
        <v>44361</v>
      </c>
      <c r="K24" s="235">
        <v>2212380.02</v>
      </c>
      <c r="L24" s="236" t="s">
        <v>45</v>
      </c>
      <c r="M24" s="237" t="s">
        <v>46</v>
      </c>
      <c r="N24" s="238" t="s">
        <v>45</v>
      </c>
      <c r="O24" s="43" t="s">
        <v>46</v>
      </c>
      <c r="P24" s="1"/>
      <c r="Q24" s="44" t="e">
        <f t="shared" si="7"/>
        <v>#REF!</v>
      </c>
      <c r="R24" s="1"/>
      <c r="S24" s="4" t="e">
        <f t="shared" si="8"/>
        <v>#REF!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>
        <f t="shared" si="3"/>
        <v>668155.85882352944</v>
      </c>
      <c r="C25" s="40">
        <f t="shared" si="4"/>
        <v>0</v>
      </c>
      <c r="D25" s="41">
        <v>4</v>
      </c>
      <c r="E25" s="231">
        <v>567932.48</v>
      </c>
      <c r="F25" s="42" t="e">
        <f t="shared" si="10"/>
        <v>#REF!</v>
      </c>
      <c r="G25" s="232" t="e">
        <f t="shared" si="5"/>
        <v>#REF!</v>
      </c>
      <c r="H25" s="233" t="e">
        <f t="shared" si="6"/>
        <v>#REF!</v>
      </c>
      <c r="I25" s="234" t="e">
        <f t="shared" si="2"/>
        <v>#REF!</v>
      </c>
      <c r="J25" s="218">
        <v>44397</v>
      </c>
      <c r="K25" s="235">
        <v>567932.48</v>
      </c>
      <c r="L25" s="236" t="s">
        <v>45</v>
      </c>
      <c r="M25" s="237" t="s">
        <v>46</v>
      </c>
      <c r="N25" s="238" t="s">
        <v>45</v>
      </c>
      <c r="O25" s="43" t="s">
        <v>46</v>
      </c>
      <c r="P25" s="1"/>
      <c r="Q25" s="44" t="e">
        <f t="shared" si="7"/>
        <v>#REF!</v>
      </c>
      <c r="R25" s="1"/>
      <c r="S25" s="4" t="e">
        <f t="shared" si="8"/>
        <v>#REF!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>
        <f t="shared" si="3"/>
        <v>79683.941176470602</v>
      </c>
      <c r="C26" s="40">
        <f t="shared" si="4"/>
        <v>0</v>
      </c>
      <c r="D26" s="41">
        <v>5</v>
      </c>
      <c r="E26" s="231">
        <v>67731.350000000006</v>
      </c>
      <c r="F26" s="42" t="e">
        <f t="shared" si="10"/>
        <v>#REF!</v>
      </c>
      <c r="G26" s="232" t="e">
        <f t="shared" si="5"/>
        <v>#REF!</v>
      </c>
      <c r="H26" s="233" t="e">
        <f t="shared" si="6"/>
        <v>#REF!</v>
      </c>
      <c r="I26" s="234" t="e">
        <f t="shared" si="2"/>
        <v>#REF!</v>
      </c>
      <c r="J26" s="218">
        <v>44397</v>
      </c>
      <c r="K26" s="235">
        <v>67731.350000000006</v>
      </c>
      <c r="L26" s="236" t="s">
        <v>45</v>
      </c>
      <c r="M26" s="237" t="s">
        <v>46</v>
      </c>
      <c r="N26" s="238" t="s">
        <v>45</v>
      </c>
      <c r="O26" s="43" t="s">
        <v>46</v>
      </c>
      <c r="P26" s="1"/>
      <c r="Q26" s="44" t="e">
        <f t="shared" si="7"/>
        <v>#REF!</v>
      </c>
      <c r="R26" s="1"/>
      <c r="S26" s="4" t="e">
        <f t="shared" si="8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ref="B27:B38" si="11">HLOOKUP($O$3,#REF!,21+A27,0)</f>
        <v>#REF!</v>
      </c>
      <c r="C27" s="40" t="e">
        <f t="shared" si="4"/>
        <v>#REF!</v>
      </c>
      <c r="D27" s="41">
        <v>6</v>
      </c>
      <c r="E27" s="231" t="e">
        <f t="shared" ref="E27:E38" si="12">HLOOKUP($O$3,#REF!,42+D27,0)</f>
        <v>#REF!</v>
      </c>
      <c r="F27" s="42" t="e">
        <f t="shared" si="10"/>
        <v>#REF!</v>
      </c>
      <c r="G27" s="232" t="e">
        <f t="shared" si="5"/>
        <v>#REF!</v>
      </c>
      <c r="H27" s="239" t="e">
        <f t="shared" si="6"/>
        <v>#REF!</v>
      </c>
      <c r="I27" s="234" t="e">
        <f t="shared" si="2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7"/>
        <v>#REF!</v>
      </c>
      <c r="R27" s="1"/>
      <c r="S27" s="4" t="e">
        <f t="shared" si="8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11"/>
        <v>#REF!</v>
      </c>
      <c r="C28" s="40" t="e">
        <f t="shared" si="4"/>
        <v>#REF!</v>
      </c>
      <c r="D28" s="41">
        <v>7</v>
      </c>
      <c r="E28" s="231" t="e">
        <f t="shared" si="12"/>
        <v>#REF!</v>
      </c>
      <c r="F28" s="42" t="e">
        <f t="shared" si="10"/>
        <v>#REF!</v>
      </c>
      <c r="G28" s="232" t="e">
        <f t="shared" si="5"/>
        <v>#REF!</v>
      </c>
      <c r="H28" s="239" t="e">
        <f t="shared" si="6"/>
        <v>#REF!</v>
      </c>
      <c r="I28" s="234" t="e">
        <f t="shared" si="2"/>
        <v>#REF!</v>
      </c>
      <c r="J28" s="218" t="s">
        <v>45</v>
      </c>
      <c r="K28" s="235" t="s">
        <v>46</v>
      </c>
      <c r="L28" s="240" t="s">
        <v>45</v>
      </c>
      <c r="M28" s="242" t="s">
        <v>46</v>
      </c>
      <c r="N28" s="241" t="s">
        <v>45</v>
      </c>
      <c r="O28" s="43" t="s">
        <v>46</v>
      </c>
      <c r="P28" s="1"/>
      <c r="Q28" s="44" t="e">
        <f t="shared" si="7"/>
        <v>#REF!</v>
      </c>
      <c r="R28" s="1"/>
      <c r="S28" s="4" t="e">
        <f t="shared" si="8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11"/>
        <v>#REF!</v>
      </c>
      <c r="C29" s="40" t="e">
        <f t="shared" si="4"/>
        <v>#REF!</v>
      </c>
      <c r="D29" s="41">
        <v>8</v>
      </c>
      <c r="E29" s="231" t="e">
        <f t="shared" si="12"/>
        <v>#REF!</v>
      </c>
      <c r="F29" s="42" t="e">
        <f t="shared" si="10"/>
        <v>#REF!</v>
      </c>
      <c r="G29" s="232" t="e">
        <f t="shared" si="5"/>
        <v>#REF!</v>
      </c>
      <c r="H29" s="239" t="e">
        <f t="shared" si="6"/>
        <v>#REF!</v>
      </c>
      <c r="I29" s="234" t="e">
        <f t="shared" si="2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7"/>
        <v>#REF!</v>
      </c>
      <c r="R29" s="1"/>
      <c r="S29" s="4" t="e">
        <f t="shared" si="8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11"/>
        <v>#REF!</v>
      </c>
      <c r="C30" s="40" t="e">
        <f t="shared" si="4"/>
        <v>#REF!</v>
      </c>
      <c r="D30" s="41">
        <v>9</v>
      </c>
      <c r="E30" s="231" t="e">
        <f t="shared" si="12"/>
        <v>#REF!</v>
      </c>
      <c r="F30" s="42" t="e">
        <f t="shared" si="10"/>
        <v>#REF!</v>
      </c>
      <c r="G30" s="232" t="e">
        <f t="shared" si="5"/>
        <v>#REF!</v>
      </c>
      <c r="H30" s="239" t="e">
        <f t="shared" si="6"/>
        <v>#REF!</v>
      </c>
      <c r="I30" s="234" t="e">
        <f t="shared" si="2"/>
        <v>#REF!</v>
      </c>
      <c r="J30" s="218" t="s">
        <v>45</v>
      </c>
      <c r="K30" s="235" t="s">
        <v>46</v>
      </c>
      <c r="L30" s="240" t="s">
        <v>45</v>
      </c>
      <c r="M30" s="242" t="s">
        <v>46</v>
      </c>
      <c r="N30" s="241" t="s">
        <v>45</v>
      </c>
      <c r="O30" s="43" t="s">
        <v>46</v>
      </c>
      <c r="P30" s="1"/>
      <c r="Q30" s="44" t="e">
        <f t="shared" si="7"/>
        <v>#REF!</v>
      </c>
      <c r="R30" s="1"/>
      <c r="S30" s="4" t="e">
        <f t="shared" si="8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11"/>
        <v>#REF!</v>
      </c>
      <c r="C31" s="40" t="e">
        <f t="shared" si="4"/>
        <v>#REF!</v>
      </c>
      <c r="D31" s="41">
        <v>10</v>
      </c>
      <c r="E31" s="231" t="e">
        <f t="shared" si="12"/>
        <v>#REF!</v>
      </c>
      <c r="F31" s="42" t="e">
        <f t="shared" si="10"/>
        <v>#REF!</v>
      </c>
      <c r="G31" s="232" t="e">
        <f t="shared" si="5"/>
        <v>#REF!</v>
      </c>
      <c r="H31" s="239" t="e">
        <f t="shared" si="6"/>
        <v>#REF!</v>
      </c>
      <c r="I31" s="234" t="e">
        <f t="shared" si="2"/>
        <v>#REF!</v>
      </c>
      <c r="J31" s="218" t="s">
        <v>45</v>
      </c>
      <c r="K31" s="235" t="s">
        <v>46</v>
      </c>
      <c r="L31" s="240" t="s">
        <v>45</v>
      </c>
      <c r="M31" s="242" t="s">
        <v>46</v>
      </c>
      <c r="N31" s="241" t="s">
        <v>45</v>
      </c>
      <c r="O31" s="43" t="s">
        <v>46</v>
      </c>
      <c r="P31" s="1"/>
      <c r="Q31" s="44" t="e">
        <f t="shared" si="7"/>
        <v>#REF!</v>
      </c>
      <c r="R31" s="1"/>
      <c r="S31" s="4" t="e">
        <f t="shared" si="8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11"/>
        <v>#REF!</v>
      </c>
      <c r="C32" s="40" t="e">
        <f t="shared" si="4"/>
        <v>#REF!</v>
      </c>
      <c r="D32" s="41">
        <v>11</v>
      </c>
      <c r="E32" s="231" t="e">
        <f t="shared" si="12"/>
        <v>#REF!</v>
      </c>
      <c r="F32" s="42" t="e">
        <f t="shared" si="10"/>
        <v>#REF!</v>
      </c>
      <c r="G32" s="232" t="e">
        <f t="shared" si="5"/>
        <v>#REF!</v>
      </c>
      <c r="H32" s="239" t="e">
        <f t="shared" si="6"/>
        <v>#REF!</v>
      </c>
      <c r="I32" s="234" t="e">
        <f t="shared" si="2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7"/>
        <v>#REF!</v>
      </c>
      <c r="R32" s="1"/>
      <c r="S32" s="4" t="e">
        <f t="shared" si="8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11"/>
        <v>#REF!</v>
      </c>
      <c r="C33" s="40" t="e">
        <f t="shared" si="4"/>
        <v>#REF!</v>
      </c>
      <c r="D33" s="41">
        <v>12</v>
      </c>
      <c r="E33" s="243" t="e">
        <f t="shared" si="12"/>
        <v>#REF!</v>
      </c>
      <c r="F33" s="42" t="e">
        <f t="shared" si="10"/>
        <v>#REF!</v>
      </c>
      <c r="G33" s="232" t="e">
        <f t="shared" si="5"/>
        <v>#REF!</v>
      </c>
      <c r="H33" s="239" t="e">
        <f t="shared" si="6"/>
        <v>#REF!</v>
      </c>
      <c r="I33" s="234" t="e">
        <f t="shared" si="2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7"/>
        <v>#REF!</v>
      </c>
      <c r="R33" s="1"/>
      <c r="S33" s="4" t="e">
        <f t="shared" si="8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11"/>
        <v>#REF!</v>
      </c>
      <c r="C34" s="40" t="e">
        <f t="shared" si="4"/>
        <v>#REF!</v>
      </c>
      <c r="D34" s="41">
        <v>13</v>
      </c>
      <c r="E34" s="243" t="e">
        <f t="shared" si="12"/>
        <v>#REF!</v>
      </c>
      <c r="F34" s="42" t="e">
        <f t="shared" si="10"/>
        <v>#REF!</v>
      </c>
      <c r="G34" s="232" t="e">
        <f t="shared" si="5"/>
        <v>#REF!</v>
      </c>
      <c r="H34" s="239" t="e">
        <f t="shared" si="6"/>
        <v>#REF!</v>
      </c>
      <c r="I34" s="234" t="e">
        <f t="shared" si="2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7"/>
        <v>#REF!</v>
      </c>
      <c r="R34" s="1"/>
      <c r="S34" s="4" t="e">
        <f t="shared" si="8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11"/>
        <v>#REF!</v>
      </c>
      <c r="C35" s="40" t="e">
        <f t="shared" si="4"/>
        <v>#REF!</v>
      </c>
      <c r="D35" s="41">
        <v>14</v>
      </c>
      <c r="E35" s="243" t="e">
        <f t="shared" si="12"/>
        <v>#REF!</v>
      </c>
      <c r="F35" s="42" t="e">
        <f t="shared" si="10"/>
        <v>#REF!</v>
      </c>
      <c r="G35" s="232" t="e">
        <f t="shared" si="5"/>
        <v>#REF!</v>
      </c>
      <c r="H35" s="239" t="e">
        <f t="shared" si="6"/>
        <v>#REF!</v>
      </c>
      <c r="I35" s="234" t="e">
        <f t="shared" si="2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7"/>
        <v>#REF!</v>
      </c>
      <c r="R35" s="1"/>
      <c r="S35" s="4" t="e">
        <f t="shared" si="8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11"/>
        <v>#REF!</v>
      </c>
      <c r="C36" s="40" t="e">
        <f t="shared" si="4"/>
        <v>#REF!</v>
      </c>
      <c r="D36" s="41">
        <v>15</v>
      </c>
      <c r="E36" s="243" t="e">
        <f t="shared" si="12"/>
        <v>#REF!</v>
      </c>
      <c r="F36" s="42" t="e">
        <f t="shared" si="10"/>
        <v>#REF!</v>
      </c>
      <c r="G36" s="232" t="e">
        <f t="shared" si="5"/>
        <v>#REF!</v>
      </c>
      <c r="H36" s="239" t="e">
        <f t="shared" si="6"/>
        <v>#REF!</v>
      </c>
      <c r="I36" s="234" t="e">
        <f t="shared" si="2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7"/>
        <v>#REF!</v>
      </c>
      <c r="R36" s="1"/>
      <c r="S36" s="4" t="e">
        <f t="shared" si="8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11"/>
        <v>#REF!</v>
      </c>
      <c r="C37" s="40" t="e">
        <f t="shared" si="4"/>
        <v>#REF!</v>
      </c>
      <c r="D37" s="41">
        <v>16</v>
      </c>
      <c r="E37" s="231" t="e">
        <f t="shared" si="12"/>
        <v>#REF!</v>
      </c>
      <c r="F37" s="42" t="e">
        <f t="shared" si="10"/>
        <v>#REF!</v>
      </c>
      <c r="G37" s="232" t="e">
        <f t="shared" si="5"/>
        <v>#REF!</v>
      </c>
      <c r="H37" s="239" t="e">
        <f t="shared" si="6"/>
        <v>#REF!</v>
      </c>
      <c r="I37" s="234" t="e">
        <f t="shared" si="2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7"/>
        <v>#REF!</v>
      </c>
      <c r="R37" s="1"/>
      <c r="S37" s="4" t="e">
        <f t="shared" si="8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11"/>
        <v>#REF!</v>
      </c>
      <c r="C38" s="40" t="e">
        <f t="shared" si="4"/>
        <v>#REF!</v>
      </c>
      <c r="D38" s="41">
        <v>17</v>
      </c>
      <c r="E38" s="243" t="e">
        <f t="shared" si="12"/>
        <v>#REF!</v>
      </c>
      <c r="F38" s="42" t="e">
        <f t="shared" si="10"/>
        <v>#REF!</v>
      </c>
      <c r="G38" s="232" t="e">
        <f t="shared" si="5"/>
        <v>#REF!</v>
      </c>
      <c r="H38" s="239" t="e">
        <f t="shared" si="6"/>
        <v>#REF!</v>
      </c>
      <c r="I38" s="234" t="e">
        <f t="shared" si="2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7"/>
        <v>#REF!</v>
      </c>
      <c r="R38" s="1"/>
      <c r="S38" s="4" t="e">
        <f t="shared" si="8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MIN(C24:C38)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5550016.4800000004</v>
      </c>
      <c r="L40" s="312">
        <f>SUM(M20:M38)</f>
        <v>0</v>
      </c>
      <c r="M40" s="376"/>
      <c r="N40" s="310">
        <f>SUM(O20:O38)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3" t="s">
        <v>58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>
        <v>1049093.81</v>
      </c>
      <c r="F46" s="68"/>
      <c r="G46" s="232" t="e">
        <f t="shared" ref="G46:G49" si="15">HLOOKUP($O$3,#REF!,121+D46,0)</f>
        <v>#REF!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>
        <v>44428</v>
      </c>
      <c r="K46" s="235">
        <v>1049093.81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>
        <v>189151.88</v>
      </c>
      <c r="F47" s="69"/>
      <c r="G47" s="232" t="e">
        <f t="shared" si="15"/>
        <v>#REF!</v>
      </c>
      <c r="H47" s="239" t="e">
        <f t="shared" si="16"/>
        <v>#REF!</v>
      </c>
      <c r="I47" s="234" t="e">
        <f t="shared" si="17"/>
        <v>#REF!</v>
      </c>
      <c r="J47" s="218">
        <v>44428</v>
      </c>
      <c r="K47" s="235">
        <v>189151.88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ref="E48:E49" si="18">HLOOKUP($O$3,#REF!,116+D48,0)</f>
        <v>#REF!</v>
      </c>
      <c r="F48" s="69"/>
      <c r="G48" s="232" t="e">
        <f t="shared" si="15"/>
        <v>#REF!</v>
      </c>
      <c r="H48" s="239" t="e">
        <f t="shared" si="16"/>
        <v>#REF!</v>
      </c>
      <c r="I48" s="234" t="e">
        <f t="shared" si="17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8"/>
        <v>#REF!</v>
      </c>
      <c r="F49" s="69"/>
      <c r="G49" s="232" t="e">
        <f t="shared" si="15"/>
        <v>#REF!</v>
      </c>
      <c r="H49" s="239" t="e">
        <f t="shared" si="16"/>
        <v>#REF!</v>
      </c>
      <c r="I49" s="234" t="e">
        <f t="shared" si="17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1238245.69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N7">
    <cfRule type="cellIs" dxfId="507" priority="1" operator="equal">
      <formula>"EN EJECUCION"</formula>
    </cfRule>
  </conditionalFormatting>
  <conditionalFormatting sqref="E5">
    <cfRule type="expression" dxfId="506" priority="2">
      <formula>IF(TODAY()&gt;=E5+355,1,0)</formula>
    </cfRule>
  </conditionalFormatting>
  <conditionalFormatting sqref="E22:E42 E45:E53 E56:E64 E67:E71">
    <cfRule type="expression" dxfId="505" priority="3">
      <formula>IF(K22:K71="DEV",1,IF(K22:K71="no pago",1,0))</formula>
    </cfRule>
  </conditionalFormatting>
  <conditionalFormatting sqref="G22:G40 G42 G44:G51 G53 G55:G64 G66:G71">
    <cfRule type="expression" dxfId="504" priority="4">
      <formula>IF(M22:M71="DEV",1,IF(M22:M71="no pago",1,0))</formula>
    </cfRule>
  </conditionalFormatting>
  <conditionalFormatting sqref="H22:H40 H42 H45:H51 H53 H56:H64 H67:H71">
    <cfRule type="expression" dxfId="503" priority="5">
      <formula>IF(O22:O71="DEV",1,IF(O22:O71="no pago",1,0))</formula>
    </cfRule>
  </conditionalFormatting>
  <conditionalFormatting sqref="K20:K38">
    <cfRule type="cellIs" dxfId="502" priority="6" operator="lessThan">
      <formula>E20:E28</formula>
    </cfRule>
  </conditionalFormatting>
  <conditionalFormatting sqref="K46:K49 K68:K71">
    <cfRule type="cellIs" dxfId="501" priority="7" operator="lessThan">
      <formula>E46:E49</formula>
    </cfRule>
  </conditionalFormatting>
  <conditionalFormatting sqref="K57:K60">
    <cfRule type="cellIs" dxfId="500" priority="8" operator="lessThan">
      <formula>E57:E60</formula>
    </cfRule>
  </conditionalFormatting>
  <conditionalFormatting sqref="K68:K71">
    <cfRule type="cellIs" dxfId="499" priority="9" operator="lessThan">
      <formula>E68:E71</formula>
    </cfRule>
  </conditionalFormatting>
  <conditionalFormatting sqref="J20:O39 J46:O49 J57:O60 J68:O71">
    <cfRule type="cellIs" dxfId="498" priority="10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497" priority="11" operator="equal">
      <formula>"DEV"</formula>
    </cfRule>
  </conditionalFormatting>
  <conditionalFormatting sqref="K20:K38 K46:K49 K57:K60 K68:K71 K80:K82 M20:M38 M46:M49 M57:M60 M68:M71 O20:O38 O46:O49 O57:O60 O68:O71">
    <cfRule type="cellIs" dxfId="496" priority="12" operator="equal">
      <formula>"no pago"</formula>
    </cfRule>
  </conditionalFormatting>
  <conditionalFormatting sqref="N7:O8">
    <cfRule type="cellIs" dxfId="495" priority="13" operator="equal">
      <formula>"PARALIZADA"</formula>
    </cfRule>
  </conditionalFormatting>
  <conditionalFormatting sqref="N7:O8">
    <cfRule type="cellIs" dxfId="494" priority="14" operator="equal">
      <formula>"EN EJECUCIÓN"</formula>
    </cfRule>
  </conditionalFormatting>
  <conditionalFormatting sqref="N7:O8">
    <cfRule type="cellIs" dxfId="493" priority="15" operator="equal">
      <formula>"TERMINADA"</formula>
    </cfRule>
  </conditionalFormatting>
  <conditionalFormatting sqref="N7:O8">
    <cfRule type="cellIs" dxfId="492" priority="16" operator="equal">
      <formula>"COMPLETADA"</formula>
    </cfRule>
  </conditionalFormatting>
  <hyperlinks>
    <hyperlink ref="O1" location="null!A1" display="&lt; VOLVER" xr:uid="{00000000-0004-0000-0100-000000000000}"/>
    <hyperlink ref="E3" location="OBRAS DE Hº!A1" display="OBRAS DE HORMIGON" xr:uid="{00000000-0004-0000-0100-000001000000}"/>
    <hyperlink ref="Q3" location="null!A1" display="'BASE DATOS'!A1" xr:uid="{00000000-0004-0000-01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29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>
        <v>43564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700000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51" t="e">
        <f>J11-J12</f>
        <v>#REF!</v>
      </c>
      <c r="K15" s="384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43928</v>
      </c>
      <c r="K22" s="252">
        <v>700000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 t="s">
        <v>77</v>
      </c>
      <c r="K23" s="235" t="s">
        <v>77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 t="s">
        <v>77</v>
      </c>
      <c r="K24" s="235" t="s">
        <v>77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77</v>
      </c>
      <c r="K25" s="235" t="s">
        <v>77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88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700000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 t="s">
        <v>77</v>
      </c>
      <c r="K46" s="235" t="s">
        <v>77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175" priority="1">
      <formula>IF(TODAY()&gt;=E5+355,1,0)</formula>
    </cfRule>
  </conditionalFormatting>
  <conditionalFormatting sqref="E22:E42 E45:E53 E56:E64 E67:E71">
    <cfRule type="expression" dxfId="174" priority="2">
      <formula>IF(K22:K71="DEV",1,IF(K22:K71="no pago",1,0))</formula>
    </cfRule>
  </conditionalFormatting>
  <conditionalFormatting sqref="G22:G40 G42 G44:G51 G53 G55:G64 G66:G71">
    <cfRule type="expression" dxfId="173" priority="3">
      <formula>IF(M22:M71="DEV",1,IF(M22:M71="no pago",1,0))</formula>
    </cfRule>
  </conditionalFormatting>
  <conditionalFormatting sqref="H22:H40 H42 H45:H51 H53 H56:H64 H67:H71">
    <cfRule type="expression" dxfId="172" priority="4">
      <formula>IF(O22:O71="DEV",1,IF(O22:O71="no pago",1,0))</formula>
    </cfRule>
  </conditionalFormatting>
  <conditionalFormatting sqref="K20:K38">
    <cfRule type="cellIs" dxfId="171" priority="5" operator="lessThan">
      <formula>E20:E28</formula>
    </cfRule>
  </conditionalFormatting>
  <conditionalFormatting sqref="K46:K49 K68:K71">
    <cfRule type="cellIs" dxfId="170" priority="6" operator="lessThan">
      <formula>E46:E49</formula>
    </cfRule>
  </conditionalFormatting>
  <conditionalFormatting sqref="K57:K60">
    <cfRule type="cellIs" dxfId="169" priority="7" operator="lessThan">
      <formula>E57:E60</formula>
    </cfRule>
  </conditionalFormatting>
  <conditionalFormatting sqref="K68:K71">
    <cfRule type="cellIs" dxfId="168" priority="8" operator="lessThan">
      <formula>E68:E71</formula>
    </cfRule>
  </conditionalFormatting>
  <conditionalFormatting sqref="J20:O39 J46:O49 J57:O60 J68:O71">
    <cfRule type="cellIs" dxfId="167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166" priority="10" operator="equal">
      <formula>"DEV"</formula>
    </cfRule>
  </conditionalFormatting>
  <conditionalFormatting sqref="K20:K38 K46:K49 K57:K60 K68:K71 K80:K82 M20:M38 M46:M49 M57:M60 M68:M71 O20:O38 O46:O49 O57:O60 O68:O71">
    <cfRule type="cellIs" dxfId="165" priority="11" operator="equal">
      <formula>"no pago"</formula>
    </cfRule>
  </conditionalFormatting>
  <conditionalFormatting sqref="B1:D1 B2:E2">
    <cfRule type="expression" dxfId="164" priority="12">
      <formula>$E$1="NO"</formula>
    </cfRule>
  </conditionalFormatting>
  <conditionalFormatting sqref="B1:D1 B2:E2">
    <cfRule type="expression" dxfId="163" priority="13">
      <formula>$E$1="SI"</formula>
    </cfRule>
  </conditionalFormatting>
  <conditionalFormatting sqref="F1">
    <cfRule type="expression" dxfId="162" priority="14">
      <formula>$E$1="NO"</formula>
    </cfRule>
  </conditionalFormatting>
  <conditionalFormatting sqref="F1">
    <cfRule type="expression" dxfId="161" priority="15">
      <formula>$E$1="SI"</formula>
    </cfRule>
  </conditionalFormatting>
  <conditionalFormatting sqref="N7:O8">
    <cfRule type="cellIs" dxfId="160" priority="16" operator="equal">
      <formula>"PARALIZADA"</formula>
    </cfRule>
  </conditionalFormatting>
  <conditionalFormatting sqref="N7:O8">
    <cfRule type="cellIs" dxfId="159" priority="17" operator="equal">
      <formula>"EN EJECUCION"</formula>
    </cfRule>
  </conditionalFormatting>
  <conditionalFormatting sqref="N7:O8">
    <cfRule type="cellIs" dxfId="158" priority="18" operator="equal">
      <formula>"TERMINADA"</formula>
    </cfRule>
  </conditionalFormatting>
  <conditionalFormatting sqref="N7:O8">
    <cfRule type="cellIs" dxfId="157" priority="19" operator="equal">
      <formula>"COMPLETADA"</formula>
    </cfRule>
  </conditionalFormatting>
  <hyperlinks>
    <hyperlink ref="O1" location="null!A1" display="&lt; VOLVER" xr:uid="{00000000-0004-0000-1300-000000000000}"/>
    <hyperlink ref="Q3" location="null!A1" display="'BASE DATOS'!A1" xr:uid="{00000000-0004-0000-13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30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>
        <v>43564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6534453.6200000001</v>
      </c>
      <c r="H13" s="22">
        <f>K51</f>
        <v>274800</v>
      </c>
      <c r="I13" s="203">
        <f>L40+N40+L51+N51</f>
        <v>1819263.6700000002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51" t="e">
        <f>J11-J12</f>
        <v>#REF!</v>
      </c>
      <c r="K15" s="384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>
        <v>43585</v>
      </c>
      <c r="K20" s="219">
        <v>1153138.8700000001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54</v>
      </c>
      <c r="K21" s="227" t="s">
        <v>54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43690</v>
      </c>
      <c r="K22" s="252">
        <v>2899990.52</v>
      </c>
      <c r="L22" s="236">
        <v>43875</v>
      </c>
      <c r="M22" s="237">
        <v>662910.68000000005</v>
      </c>
      <c r="N22" s="238">
        <v>43875</v>
      </c>
      <c r="O22" s="43">
        <v>116984.27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>
        <v>43756</v>
      </c>
      <c r="K23" s="235">
        <v>1189270.56</v>
      </c>
      <c r="L23" s="236">
        <v>43875</v>
      </c>
      <c r="M23" s="237">
        <v>262163.87</v>
      </c>
      <c r="N23" s="238">
        <v>43875</v>
      </c>
      <c r="O23" s="43">
        <v>46264.21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>
        <v>43798</v>
      </c>
      <c r="K24" s="235">
        <v>2445192.54</v>
      </c>
      <c r="L24" s="236">
        <v>43901</v>
      </c>
      <c r="M24" s="237">
        <v>621299.54</v>
      </c>
      <c r="N24" s="238">
        <v>43894</v>
      </c>
      <c r="O24" s="43">
        <v>109641.1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77</v>
      </c>
      <c r="K25" s="235" t="s">
        <v>77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88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6534453.6200000001</v>
      </c>
      <c r="L40" s="312">
        <f>SUM(M22:M38)</f>
        <v>1546374.09</v>
      </c>
      <c r="M40" s="376"/>
      <c r="N40" s="310">
        <f>SUM(O22:O38)</f>
        <v>272889.58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>
        <v>43867</v>
      </c>
      <c r="K46" s="235">
        <v>274800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274800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22:E42 E45:E53 E56:E64 E67:E71">
    <cfRule type="expression" dxfId="156" priority="1">
      <formula>IF(K22:K71="DEV",1,IF(K22:K71="no pago",1,0))</formula>
    </cfRule>
  </conditionalFormatting>
  <conditionalFormatting sqref="G22:G40 G42 G44:G51 G53 G55:G64 G66:G71">
    <cfRule type="expression" dxfId="155" priority="2">
      <formula>IF(M22:M71="DEV",1,IF(M22:M71="no pago",1,0))</formula>
    </cfRule>
  </conditionalFormatting>
  <conditionalFormatting sqref="H22:H40 H42 H45:H51 H53 H56:H64 H67:H71">
    <cfRule type="expression" dxfId="154" priority="3">
      <formula>IF(O22:O71="DEV",1,IF(O22:O71="no pago",1,0))</formula>
    </cfRule>
  </conditionalFormatting>
  <conditionalFormatting sqref="K20:K38">
    <cfRule type="cellIs" dxfId="153" priority="4" operator="lessThan">
      <formula>E20:E28</formula>
    </cfRule>
  </conditionalFormatting>
  <conditionalFormatting sqref="K46:K49 K68:K71">
    <cfRule type="cellIs" dxfId="152" priority="5" operator="lessThan">
      <formula>E46:E49</formula>
    </cfRule>
  </conditionalFormatting>
  <conditionalFormatting sqref="K57:K60">
    <cfRule type="cellIs" dxfId="151" priority="6" operator="lessThan">
      <formula>E57:E60</formula>
    </cfRule>
  </conditionalFormatting>
  <conditionalFormatting sqref="K68:K71">
    <cfRule type="cellIs" dxfId="150" priority="7" operator="lessThan">
      <formula>E68:E71</formula>
    </cfRule>
  </conditionalFormatting>
  <conditionalFormatting sqref="J20:O39 J46:O49 J57:O60 J68:O71">
    <cfRule type="cellIs" dxfId="149" priority="8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148" priority="9" operator="equal">
      <formula>"DEV"</formula>
    </cfRule>
  </conditionalFormatting>
  <conditionalFormatting sqref="K20:K38 K46:K49 K57:K60 K68:K71 K80:K82 M20:M38 M46:M49 M57:M60 M68:M71 O20:O38 O46:O49 O57:O60 O68:O71">
    <cfRule type="cellIs" dxfId="147" priority="10" operator="equal">
      <formula>"no pago"</formula>
    </cfRule>
  </conditionalFormatting>
  <conditionalFormatting sqref="B1:D1 B2:E2">
    <cfRule type="expression" dxfId="146" priority="11">
      <formula>$E$1="NO"</formula>
    </cfRule>
  </conditionalFormatting>
  <conditionalFormatting sqref="B1:D1 B2:E2">
    <cfRule type="expression" dxfId="145" priority="12">
      <formula>$E$1="SI"</formula>
    </cfRule>
  </conditionalFormatting>
  <conditionalFormatting sqref="F1">
    <cfRule type="expression" dxfId="144" priority="13">
      <formula>$E$1="NO"</formula>
    </cfRule>
  </conditionalFormatting>
  <conditionalFormatting sqref="F1">
    <cfRule type="expression" dxfId="143" priority="14">
      <formula>$E$1="SI"</formula>
    </cfRule>
  </conditionalFormatting>
  <conditionalFormatting sqref="N7:O8">
    <cfRule type="cellIs" dxfId="142" priority="15" operator="equal">
      <formula>"PARALIZADA"</formula>
    </cfRule>
  </conditionalFormatting>
  <conditionalFormatting sqref="N7:O8">
    <cfRule type="cellIs" dxfId="141" priority="16" operator="equal">
      <formula>"EN EJECUCION"</formula>
    </cfRule>
  </conditionalFormatting>
  <conditionalFormatting sqref="N7:O8">
    <cfRule type="cellIs" dxfId="140" priority="17" operator="equal">
      <formula>"TERMINADA"</formula>
    </cfRule>
  </conditionalFormatting>
  <conditionalFormatting sqref="N7:O8">
    <cfRule type="cellIs" dxfId="139" priority="18" operator="equal">
      <formula>"COMPLETADA"</formula>
    </cfRule>
  </conditionalFormatting>
  <hyperlinks>
    <hyperlink ref="O1" location="null!A1" display="&lt; VOLVER" xr:uid="{00000000-0004-0000-1400-000000000000}"/>
    <hyperlink ref="Q3" location="null!A1" display="'BASE DATOS'!A1" xr:uid="{00000000-0004-0000-14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31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>
        <v>43564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20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121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94">
        <v>389280.8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4463492.8</v>
      </c>
      <c r="H13" s="22">
        <f>K51</f>
        <v>112057.93</v>
      </c>
      <c r="I13" s="203">
        <f>L40+N40+L51+N51</f>
        <v>389280.8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 t="shared" ref="H15:J15" si="3">H11-H12</f>
        <v>#REF!</v>
      </c>
      <c r="I15" s="95" t="e">
        <f t="shared" si="3"/>
        <v>#REF!</v>
      </c>
      <c r="J15" s="351" t="e">
        <f t="shared" si="3"/>
        <v>#REF!</v>
      </c>
      <c r="K15" s="384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4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4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5">HLOOKUP($O$3,#REF!,21+A22,0)</f>
        <v>#REF!</v>
      </c>
      <c r="C22" s="40" t="e">
        <f t="shared" ref="C22:C38" si="6">IF(B22&lt;&gt;"",,A22)</f>
        <v>#REF!</v>
      </c>
      <c r="D22" s="41">
        <v>1</v>
      </c>
      <c r="E22" s="243" t="e">
        <f t="shared" ref="E22:E38" si="7">HLOOKUP($O$3,#REF!,42+D22,0)</f>
        <v>#REF!</v>
      </c>
      <c r="F22" s="42" t="e">
        <f>IF(E22=0,0,$G$7)</f>
        <v>#REF!</v>
      </c>
      <c r="G22" s="232" t="e">
        <f t="shared" ref="G22:G38" si="8">HLOOKUP($O$3,#REF!,63+D22,0)</f>
        <v>#REF!</v>
      </c>
      <c r="H22" s="233">
        <v>389280.8</v>
      </c>
      <c r="I22" s="234" t="e">
        <f t="shared" si="4"/>
        <v>#REF!</v>
      </c>
      <c r="J22" s="218">
        <v>43658</v>
      </c>
      <c r="K22" s="252">
        <v>1617620.03</v>
      </c>
      <c r="L22" s="236" t="s">
        <v>77</v>
      </c>
      <c r="M22" s="237" t="s">
        <v>77</v>
      </c>
      <c r="N22" s="238">
        <v>44005</v>
      </c>
      <c r="O22" s="43">
        <v>389280.8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5"/>
        <v>#REF!</v>
      </c>
      <c r="C23" s="40" t="e">
        <f t="shared" si="6"/>
        <v>#REF!</v>
      </c>
      <c r="D23" s="41">
        <v>2</v>
      </c>
      <c r="E23" s="243" t="e">
        <f t="shared" si="7"/>
        <v>#REF!</v>
      </c>
      <c r="F23" s="42" t="e">
        <f t="shared" ref="F23:F38" si="12">EOMONTH(F22,1)</f>
        <v>#REF!</v>
      </c>
      <c r="G23" s="232" t="e">
        <f t="shared" si="8"/>
        <v>#REF!</v>
      </c>
      <c r="H23" s="233" t="e">
        <f t="shared" ref="H23:H38" si="13">HLOOKUP($O$3,#REF!,84+D23,0)</f>
        <v>#REF!</v>
      </c>
      <c r="I23" s="234" t="e">
        <f t="shared" si="4"/>
        <v>#REF!</v>
      </c>
      <c r="J23" s="218">
        <v>43728</v>
      </c>
      <c r="K23" s="235">
        <v>542684.43000000005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5"/>
        <v>#REF!</v>
      </c>
      <c r="C24" s="40" t="e">
        <f t="shared" si="6"/>
        <v>#REF!</v>
      </c>
      <c r="D24" s="41">
        <v>3</v>
      </c>
      <c r="E24" s="243" t="e">
        <f t="shared" si="7"/>
        <v>#REF!</v>
      </c>
      <c r="F24" s="42" t="e">
        <f t="shared" si="12"/>
        <v>#REF!</v>
      </c>
      <c r="G24" s="232" t="e">
        <f t="shared" si="8"/>
        <v>#REF!</v>
      </c>
      <c r="H24" s="233" t="e">
        <f t="shared" si="13"/>
        <v>#REF!</v>
      </c>
      <c r="I24" s="234" t="e">
        <f t="shared" si="4"/>
        <v>#REF!</v>
      </c>
      <c r="J24" s="218">
        <v>43742</v>
      </c>
      <c r="K24" s="235">
        <v>536041.07999999996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5"/>
        <v>#REF!</v>
      </c>
      <c r="C25" s="40" t="e">
        <f t="shared" si="6"/>
        <v>#REF!</v>
      </c>
      <c r="D25" s="41">
        <v>4</v>
      </c>
      <c r="E25" s="243" t="e">
        <f t="shared" si="7"/>
        <v>#REF!</v>
      </c>
      <c r="F25" s="42" t="e">
        <f t="shared" si="12"/>
        <v>#REF!</v>
      </c>
      <c r="G25" s="232" t="e">
        <f t="shared" si="8"/>
        <v>#REF!</v>
      </c>
      <c r="H25" s="233" t="e">
        <f t="shared" si="13"/>
        <v>#REF!</v>
      </c>
      <c r="I25" s="234" t="e">
        <f t="shared" si="4"/>
        <v>#REF!</v>
      </c>
      <c r="J25" s="218">
        <v>43809</v>
      </c>
      <c r="K25" s="235">
        <v>1072406.8799999999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5"/>
        <v>#REF!</v>
      </c>
      <c r="C26" s="40" t="e">
        <f t="shared" si="6"/>
        <v>#REF!</v>
      </c>
      <c r="D26" s="41">
        <v>5</v>
      </c>
      <c r="E26" s="243" t="e">
        <f t="shared" si="7"/>
        <v>#REF!</v>
      </c>
      <c r="F26" s="42" t="e">
        <f t="shared" si="12"/>
        <v>#REF!</v>
      </c>
      <c r="G26" s="232" t="e">
        <f t="shared" si="8"/>
        <v>#REF!</v>
      </c>
      <c r="H26" s="233" t="e">
        <f t="shared" si="13"/>
        <v>#REF!</v>
      </c>
      <c r="I26" s="234" t="e">
        <f t="shared" si="4"/>
        <v>#REF!</v>
      </c>
      <c r="J26" s="218">
        <v>43818</v>
      </c>
      <c r="K26" s="235">
        <v>694740.38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5"/>
        <v>#REF!</v>
      </c>
      <c r="C27" s="40" t="e">
        <f t="shared" si="6"/>
        <v>#REF!</v>
      </c>
      <c r="D27" s="41">
        <v>6</v>
      </c>
      <c r="E27" s="243" t="e">
        <f t="shared" si="7"/>
        <v>#REF!</v>
      </c>
      <c r="F27" s="42" t="e">
        <f t="shared" si="12"/>
        <v>#REF!</v>
      </c>
      <c r="G27" s="232" t="e">
        <f t="shared" si="8"/>
        <v>#REF!</v>
      </c>
      <c r="H27" s="239" t="e">
        <f t="shared" si="13"/>
        <v>#REF!</v>
      </c>
      <c r="I27" s="234" t="e">
        <f t="shared" si="4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5"/>
        <v>#REF!</v>
      </c>
      <c r="C28" s="40" t="e">
        <f t="shared" si="6"/>
        <v>#REF!</v>
      </c>
      <c r="D28" s="41">
        <v>7</v>
      </c>
      <c r="E28" s="243" t="e">
        <f t="shared" si="7"/>
        <v>#REF!</v>
      </c>
      <c r="F28" s="42" t="e">
        <f t="shared" si="12"/>
        <v>#REF!</v>
      </c>
      <c r="G28" s="232" t="e">
        <f t="shared" si="8"/>
        <v>#REF!</v>
      </c>
      <c r="H28" s="239" t="e">
        <f t="shared" si="13"/>
        <v>#REF!</v>
      </c>
      <c r="I28" s="234" t="e">
        <f t="shared" si="4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5"/>
        <v>#REF!</v>
      </c>
      <c r="C29" s="40" t="e">
        <f t="shared" si="6"/>
        <v>#REF!</v>
      </c>
      <c r="D29" s="41">
        <v>8</v>
      </c>
      <c r="E29" s="243" t="e">
        <f t="shared" si="7"/>
        <v>#REF!</v>
      </c>
      <c r="F29" s="42" t="e">
        <f t="shared" si="12"/>
        <v>#REF!</v>
      </c>
      <c r="G29" s="232" t="e">
        <f t="shared" si="8"/>
        <v>#REF!</v>
      </c>
      <c r="H29" s="239" t="e">
        <f t="shared" si="13"/>
        <v>#REF!</v>
      </c>
      <c r="I29" s="234" t="e">
        <f t="shared" si="4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5"/>
        <v>#REF!</v>
      </c>
      <c r="C30" s="40" t="e">
        <f t="shared" si="6"/>
        <v>#REF!</v>
      </c>
      <c r="D30" s="41">
        <v>9</v>
      </c>
      <c r="E30" s="243" t="e">
        <f t="shared" si="7"/>
        <v>#REF!</v>
      </c>
      <c r="F30" s="42" t="e">
        <f t="shared" si="12"/>
        <v>#REF!</v>
      </c>
      <c r="G30" s="232" t="e">
        <f t="shared" si="8"/>
        <v>#REF!</v>
      </c>
      <c r="H30" s="239" t="e">
        <f t="shared" si="13"/>
        <v>#REF!</v>
      </c>
      <c r="I30" s="234" t="e">
        <f t="shared" si="4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5"/>
        <v>#REF!</v>
      </c>
      <c r="C31" s="40" t="e">
        <f t="shared" si="6"/>
        <v>#REF!</v>
      </c>
      <c r="D31" s="41">
        <v>10</v>
      </c>
      <c r="E31" s="243" t="e">
        <f t="shared" si="7"/>
        <v>#REF!</v>
      </c>
      <c r="F31" s="42" t="e">
        <f t="shared" si="12"/>
        <v>#REF!</v>
      </c>
      <c r="G31" s="232" t="e">
        <f t="shared" si="8"/>
        <v>#REF!</v>
      </c>
      <c r="H31" s="239" t="e">
        <f t="shared" si="13"/>
        <v>#REF!</v>
      </c>
      <c r="I31" s="234" t="e">
        <f t="shared" si="4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5"/>
        <v>#REF!</v>
      </c>
      <c r="C32" s="40" t="e">
        <f t="shared" si="6"/>
        <v>#REF!</v>
      </c>
      <c r="D32" s="41">
        <v>11</v>
      </c>
      <c r="E32" s="243" t="e">
        <f t="shared" si="7"/>
        <v>#REF!</v>
      </c>
      <c r="F32" s="42" t="e">
        <f t="shared" si="12"/>
        <v>#REF!</v>
      </c>
      <c r="G32" s="232" t="e">
        <f t="shared" si="8"/>
        <v>#REF!</v>
      </c>
      <c r="H32" s="239" t="e">
        <f t="shared" si="13"/>
        <v>#REF!</v>
      </c>
      <c r="I32" s="234" t="e">
        <f t="shared" si="4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5"/>
        <v>#REF!</v>
      </c>
      <c r="C33" s="40" t="e">
        <f t="shared" si="6"/>
        <v>#REF!</v>
      </c>
      <c r="D33" s="41">
        <v>12</v>
      </c>
      <c r="E33" s="243" t="e">
        <f t="shared" si="7"/>
        <v>#REF!</v>
      </c>
      <c r="F33" s="42" t="e">
        <f t="shared" si="12"/>
        <v>#REF!</v>
      </c>
      <c r="G33" s="232" t="e">
        <f t="shared" si="8"/>
        <v>#REF!</v>
      </c>
      <c r="H33" s="239" t="e">
        <f t="shared" si="13"/>
        <v>#REF!</v>
      </c>
      <c r="I33" s="234" t="e">
        <f t="shared" si="4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5"/>
        <v>#REF!</v>
      </c>
      <c r="C34" s="40" t="e">
        <f t="shared" si="6"/>
        <v>#REF!</v>
      </c>
      <c r="D34" s="41">
        <v>13</v>
      </c>
      <c r="E34" s="243" t="e">
        <f t="shared" si="7"/>
        <v>#REF!</v>
      </c>
      <c r="F34" s="42" t="e">
        <f t="shared" si="12"/>
        <v>#REF!</v>
      </c>
      <c r="G34" s="232" t="e">
        <f t="shared" si="8"/>
        <v>#REF!</v>
      </c>
      <c r="H34" s="239" t="e">
        <f t="shared" si="13"/>
        <v>#REF!</v>
      </c>
      <c r="I34" s="234" t="e">
        <f t="shared" si="4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5"/>
        <v>#REF!</v>
      </c>
      <c r="C35" s="40" t="e">
        <f t="shared" si="6"/>
        <v>#REF!</v>
      </c>
      <c r="D35" s="41">
        <v>14</v>
      </c>
      <c r="E35" s="243" t="e">
        <f t="shared" si="7"/>
        <v>#REF!</v>
      </c>
      <c r="F35" s="42" t="e">
        <f t="shared" si="12"/>
        <v>#REF!</v>
      </c>
      <c r="G35" s="232" t="e">
        <f t="shared" si="8"/>
        <v>#REF!</v>
      </c>
      <c r="H35" s="239" t="e">
        <f t="shared" si="13"/>
        <v>#REF!</v>
      </c>
      <c r="I35" s="234" t="e">
        <f t="shared" si="4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5"/>
        <v>#REF!</v>
      </c>
      <c r="C36" s="40" t="e">
        <f t="shared" si="6"/>
        <v>#REF!</v>
      </c>
      <c r="D36" s="41">
        <v>15</v>
      </c>
      <c r="E36" s="243" t="e">
        <f t="shared" si="7"/>
        <v>#REF!</v>
      </c>
      <c r="F36" s="42" t="e">
        <f t="shared" si="12"/>
        <v>#REF!</v>
      </c>
      <c r="G36" s="232" t="e">
        <f t="shared" si="8"/>
        <v>#REF!</v>
      </c>
      <c r="H36" s="239" t="e">
        <f t="shared" si="13"/>
        <v>#REF!</v>
      </c>
      <c r="I36" s="234" t="e">
        <f t="shared" si="4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5"/>
        <v>#REF!</v>
      </c>
      <c r="C37" s="40" t="e">
        <f t="shared" si="6"/>
        <v>#REF!</v>
      </c>
      <c r="D37" s="41">
        <v>16</v>
      </c>
      <c r="E37" s="231" t="e">
        <f t="shared" si="7"/>
        <v>#REF!</v>
      </c>
      <c r="F37" s="88" t="e">
        <f t="shared" si="12"/>
        <v>#REF!</v>
      </c>
      <c r="G37" s="232" t="e">
        <f t="shared" si="8"/>
        <v>#REF!</v>
      </c>
      <c r="H37" s="239" t="e">
        <f t="shared" si="13"/>
        <v>#REF!</v>
      </c>
      <c r="I37" s="234" t="e">
        <f t="shared" si="4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5"/>
        <v>#REF!</v>
      </c>
      <c r="C38" s="40" t="e">
        <f t="shared" si="6"/>
        <v>#REF!</v>
      </c>
      <c r="D38" s="41">
        <v>17</v>
      </c>
      <c r="E38" s="243" t="e">
        <f t="shared" si="7"/>
        <v>#REF!</v>
      </c>
      <c r="F38" s="42" t="e">
        <f t="shared" si="12"/>
        <v>#REF!</v>
      </c>
      <c r="G38" s="232" t="e">
        <f t="shared" si="8"/>
        <v>#REF!</v>
      </c>
      <c r="H38" s="239" t="e">
        <f t="shared" si="13"/>
        <v>#REF!</v>
      </c>
      <c r="I38" s="234" t="e">
        <f t="shared" si="4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4">SUM(H22:H38)</f>
        <v>#REF!</v>
      </c>
      <c r="I40" s="50" t="e">
        <f t="shared" si="14"/>
        <v>#REF!</v>
      </c>
      <c r="J40" s="51" t="s">
        <v>29</v>
      </c>
      <c r="K40" s="52">
        <f>SUM(K22:K39)</f>
        <v>4463492.8</v>
      </c>
      <c r="L40" s="312">
        <f>SUM(M22:M38)</f>
        <v>0</v>
      </c>
      <c r="M40" s="376"/>
      <c r="N40" s="310">
        <f>SUM(O22:O38)</f>
        <v>389280.8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5">SUM(S22:S40)</f>
        <v>0</v>
      </c>
      <c r="T41" s="4" t="e">
        <f t="shared" si="15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6">HLOOKUP($O$3,#REF!,116+D46,0)</f>
        <v>#REF!</v>
      </c>
      <c r="F46" s="68"/>
      <c r="G46" s="232" t="e">
        <f t="shared" ref="G46:G49" si="17">HLOOKUP($O$3,#REF!,121+D46,0)</f>
        <v>#REF!</v>
      </c>
      <c r="H46" s="239" t="e">
        <f t="shared" ref="H46:H49" si="18">HLOOKUP($O$3,#REF!,126+D46,0)</f>
        <v>#REF!</v>
      </c>
      <c r="I46" s="234" t="e">
        <f t="shared" ref="I46:I49" si="19">G46+H46</f>
        <v>#REF!</v>
      </c>
      <c r="J46" s="218">
        <v>43853</v>
      </c>
      <c r="K46" s="235">
        <v>112057.93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6"/>
        <v>#REF!</v>
      </c>
      <c r="F47" s="69"/>
      <c r="G47" s="232" t="e">
        <f t="shared" si="17"/>
        <v>#REF!</v>
      </c>
      <c r="H47" s="239" t="e">
        <f t="shared" si="18"/>
        <v>#REF!</v>
      </c>
      <c r="I47" s="234" t="e">
        <f t="shared" si="19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6"/>
        <v>#REF!</v>
      </c>
      <c r="F48" s="69"/>
      <c r="G48" s="232" t="e">
        <f t="shared" si="17"/>
        <v>#REF!</v>
      </c>
      <c r="H48" s="239" t="e">
        <f t="shared" si="18"/>
        <v>#REF!</v>
      </c>
      <c r="I48" s="234" t="e">
        <f t="shared" si="19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6"/>
        <v>#REF!</v>
      </c>
      <c r="F49" s="69"/>
      <c r="G49" s="232" t="e">
        <f t="shared" si="17"/>
        <v>#REF!</v>
      </c>
      <c r="H49" s="239" t="e">
        <f t="shared" si="18"/>
        <v>#REF!</v>
      </c>
      <c r="I49" s="234" t="e">
        <f t="shared" si="19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0">SUM(G46:G50)</f>
        <v>#REF!</v>
      </c>
      <c r="H51" s="49" t="e">
        <f t="shared" si="20"/>
        <v>#REF!</v>
      </c>
      <c r="I51" s="50" t="e">
        <f t="shared" si="20"/>
        <v>#REF!</v>
      </c>
      <c r="J51" s="51" t="s">
        <v>29</v>
      </c>
      <c r="K51" s="52">
        <f>SUM(K46:K50)</f>
        <v>112057.93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1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1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1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1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2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2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2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2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22:E42 E45:E53 E56:E64 E67:E71">
    <cfRule type="expression" dxfId="138" priority="1">
      <formula>IF(K22:K71="DEV",1,IF(K22:K71="no pago",1,0))</formula>
    </cfRule>
  </conditionalFormatting>
  <conditionalFormatting sqref="G22:G40 G42 G44:G51 G53 G55:G64 G66:G71">
    <cfRule type="expression" dxfId="137" priority="2">
      <formula>IF(M22:M71="DEV",1,IF(M22:M71="no pago",1,0))</formula>
    </cfRule>
  </conditionalFormatting>
  <conditionalFormatting sqref="H22:H40 H42 H45:H51 H53 H56:H64 H67:H71">
    <cfRule type="expression" dxfId="136" priority="3">
      <formula>IF(O22:O71="DEV",1,IF(O22:O71="no pago",1,0))</formula>
    </cfRule>
  </conditionalFormatting>
  <conditionalFormatting sqref="K20:K38">
    <cfRule type="cellIs" dxfId="135" priority="4" operator="lessThan">
      <formula>E20:E28</formula>
    </cfRule>
  </conditionalFormatting>
  <conditionalFormatting sqref="K46:K49 K68:K71">
    <cfRule type="cellIs" dxfId="134" priority="5" operator="lessThan">
      <formula>E46:E49</formula>
    </cfRule>
  </conditionalFormatting>
  <conditionalFormatting sqref="K57:K60">
    <cfRule type="cellIs" dxfId="133" priority="6" operator="lessThan">
      <formula>E57:E60</formula>
    </cfRule>
  </conditionalFormatting>
  <conditionalFormatting sqref="K68:K71">
    <cfRule type="cellIs" dxfId="132" priority="7" operator="lessThan">
      <formula>E68:E71</formula>
    </cfRule>
  </conditionalFormatting>
  <conditionalFormatting sqref="J20:O39 J46:O49 J57:O60 J68:O71">
    <cfRule type="cellIs" dxfId="131" priority="8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130" priority="9" operator="equal">
      <formula>"DEV"</formula>
    </cfRule>
  </conditionalFormatting>
  <conditionalFormatting sqref="K20:K38 K46:K49 K57:K60 K68:K71 K80:K82 M20:M38 M46:M49 M57:M60 M68:M71 O20:O38 O46:O49 O57:O60 O68:O71">
    <cfRule type="cellIs" dxfId="129" priority="10" operator="equal">
      <formula>"no pago"</formula>
    </cfRule>
  </conditionalFormatting>
  <conditionalFormatting sqref="B1:D1 B2:E2">
    <cfRule type="expression" dxfId="128" priority="11">
      <formula>$E$1="NO"</formula>
    </cfRule>
  </conditionalFormatting>
  <conditionalFormatting sqref="B1:D1 B2:E2">
    <cfRule type="expression" dxfId="127" priority="12">
      <formula>$E$1="SI"</formula>
    </cfRule>
  </conditionalFormatting>
  <conditionalFormatting sqref="F1">
    <cfRule type="expression" dxfId="126" priority="13">
      <formula>$E$1="NO"</formula>
    </cfRule>
  </conditionalFormatting>
  <conditionalFormatting sqref="F1">
    <cfRule type="expression" dxfId="125" priority="14">
      <formula>$E$1="SI"</formula>
    </cfRule>
  </conditionalFormatting>
  <conditionalFormatting sqref="N7:O8">
    <cfRule type="cellIs" dxfId="124" priority="15" operator="equal">
      <formula>"PARALIZADA"</formula>
    </cfRule>
  </conditionalFormatting>
  <conditionalFormatting sqref="N7:O8">
    <cfRule type="cellIs" dxfId="123" priority="16" operator="equal">
      <formula>"EN EJECUCION"</formula>
    </cfRule>
  </conditionalFormatting>
  <conditionalFormatting sqref="N7:O8">
    <cfRule type="cellIs" dxfId="122" priority="17" operator="equal">
      <formula>"TERMINADA"</formula>
    </cfRule>
  </conditionalFormatting>
  <conditionalFormatting sqref="N7:O8">
    <cfRule type="cellIs" dxfId="121" priority="18" operator="equal">
      <formula>"COMPLETADA"</formula>
    </cfRule>
  </conditionalFormatting>
  <hyperlinks>
    <hyperlink ref="O1" location="null!A1" display="&lt; VOLVER" xr:uid="{00000000-0004-0000-1500-000000000000}"/>
    <hyperlink ref="Q3" location="null!A1" display="'BASE DATOS'!A1" xr:uid="{00000000-0004-0000-15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119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47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5510889.9299999997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3" t="e">
        <f t="shared" ref="E22:E38" si="5">HLOOKUP($O$3,#REF!,42+D22,0)</f>
        <v>#REF!</v>
      </c>
      <c r="F22" s="42" t="e">
        <f>IF(E22=0,0,$G$7)</f>
        <v>#REF!</v>
      </c>
      <c r="G22" s="232" t="e">
        <f t="shared" ref="G22:G38" si="6">HLOOKUP($O$3,#REF!,63+D22,0)</f>
        <v>#REF!</v>
      </c>
      <c r="H22" s="233" t="e">
        <f t="shared" ref="H22:H38" si="7">HLOOKUP($O$3,#REF!,84+D22,0)</f>
        <v>#REF!</v>
      </c>
      <c r="I22" s="234" t="e">
        <f t="shared" si="3"/>
        <v>#REF!</v>
      </c>
      <c r="J22" s="218">
        <v>44342</v>
      </c>
      <c r="K22" s="235">
        <v>2745358.26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39"/>
      <c r="D23" s="41">
        <v>2</v>
      </c>
      <c r="E23" s="243" t="e">
        <f t="shared" si="5"/>
        <v>#REF!</v>
      </c>
      <c r="F23" s="42" t="e">
        <f t="shared" ref="F23:F38" si="11">EOMONTH(F22,1)</f>
        <v>#REF!</v>
      </c>
      <c r="G23" s="232" t="e">
        <f t="shared" si="6"/>
        <v>#REF!</v>
      </c>
      <c r="H23" s="233" t="e">
        <f t="shared" si="7"/>
        <v>#REF!</v>
      </c>
      <c r="I23" s="234" t="e">
        <f t="shared" si="3"/>
        <v>#REF!</v>
      </c>
      <c r="J23" s="218">
        <v>44369</v>
      </c>
      <c r="K23" s="235">
        <v>2765531.67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39"/>
      <c r="D24" s="41">
        <v>3</v>
      </c>
      <c r="E24" s="243" t="e">
        <f t="shared" si="5"/>
        <v>#REF!</v>
      </c>
      <c r="F24" s="42" t="e">
        <f t="shared" si="11"/>
        <v>#REF!</v>
      </c>
      <c r="G24" s="232" t="e">
        <f t="shared" si="6"/>
        <v>#REF!</v>
      </c>
      <c r="H24" s="233" t="e">
        <f t="shared" si="7"/>
        <v>#REF!</v>
      </c>
      <c r="I24" s="234" t="e">
        <f t="shared" si="3"/>
        <v>#REF!</v>
      </c>
      <c r="J24" s="218" t="s">
        <v>45</v>
      </c>
      <c r="K24" s="235" t="s">
        <v>46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39"/>
      <c r="D25" s="41">
        <v>4</v>
      </c>
      <c r="E25" s="243" t="e">
        <f t="shared" si="5"/>
        <v>#REF!</v>
      </c>
      <c r="F25" s="42" t="e">
        <f t="shared" si="11"/>
        <v>#REF!</v>
      </c>
      <c r="G25" s="232" t="e">
        <f t="shared" si="6"/>
        <v>#REF!</v>
      </c>
      <c r="H25" s="233" t="e">
        <f t="shared" si="7"/>
        <v>#REF!</v>
      </c>
      <c r="I25" s="234" t="e">
        <f t="shared" si="3"/>
        <v>#REF!</v>
      </c>
      <c r="J25" s="218" t="s">
        <v>45</v>
      </c>
      <c r="K25" s="235" t="s">
        <v>46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39"/>
      <c r="D26" s="41">
        <v>5</v>
      </c>
      <c r="E26" s="243" t="e">
        <f t="shared" si="5"/>
        <v>#REF!</v>
      </c>
      <c r="F26" s="42" t="e">
        <f t="shared" si="11"/>
        <v>#REF!</v>
      </c>
      <c r="G26" s="232" t="e">
        <f t="shared" si="6"/>
        <v>#REF!</v>
      </c>
      <c r="H26" s="233" t="e">
        <f t="shared" si="7"/>
        <v>#REF!</v>
      </c>
      <c r="I26" s="234" t="e">
        <f t="shared" si="3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39"/>
      <c r="D27" s="41">
        <v>6</v>
      </c>
      <c r="E27" s="243" t="e">
        <f t="shared" si="5"/>
        <v>#REF!</v>
      </c>
      <c r="F27" s="42" t="e">
        <f t="shared" si="11"/>
        <v>#REF!</v>
      </c>
      <c r="G27" s="232" t="e">
        <f t="shared" si="6"/>
        <v>#REF!</v>
      </c>
      <c r="H27" s="239" t="e">
        <f t="shared" si="7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39"/>
      <c r="D28" s="41">
        <v>7</v>
      </c>
      <c r="E28" s="243" t="e">
        <f t="shared" si="5"/>
        <v>#REF!</v>
      </c>
      <c r="F28" s="42" t="e">
        <f t="shared" si="11"/>
        <v>#REF!</v>
      </c>
      <c r="G28" s="232" t="e">
        <f t="shared" si="6"/>
        <v>#REF!</v>
      </c>
      <c r="H28" s="239" t="e">
        <f t="shared" si="7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39"/>
      <c r="D29" s="41">
        <v>8</v>
      </c>
      <c r="E29" s="243" t="e">
        <f t="shared" si="5"/>
        <v>#REF!</v>
      </c>
      <c r="F29" s="42" t="e">
        <f t="shared" si="11"/>
        <v>#REF!</v>
      </c>
      <c r="G29" s="232" t="e">
        <f t="shared" si="6"/>
        <v>#REF!</v>
      </c>
      <c r="H29" s="239" t="e">
        <f t="shared" si="7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39"/>
      <c r="D30" s="41">
        <v>9</v>
      </c>
      <c r="E30" s="243" t="e">
        <f t="shared" si="5"/>
        <v>#REF!</v>
      </c>
      <c r="F30" s="42" t="e">
        <f t="shared" si="11"/>
        <v>#REF!</v>
      </c>
      <c r="G30" s="232" t="e">
        <f t="shared" si="6"/>
        <v>#REF!</v>
      </c>
      <c r="H30" s="239" t="e">
        <f t="shared" si="7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39"/>
      <c r="D31" s="41">
        <v>10</v>
      </c>
      <c r="E31" s="243" t="e">
        <f t="shared" si="5"/>
        <v>#REF!</v>
      </c>
      <c r="F31" s="42" t="e">
        <f t="shared" si="11"/>
        <v>#REF!</v>
      </c>
      <c r="G31" s="232" t="e">
        <f t="shared" si="6"/>
        <v>#REF!</v>
      </c>
      <c r="H31" s="239" t="e">
        <f t="shared" si="7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39"/>
      <c r="D32" s="41">
        <v>11</v>
      </c>
      <c r="E32" s="243" t="e">
        <f t="shared" si="5"/>
        <v>#REF!</v>
      </c>
      <c r="F32" s="42" t="e">
        <f t="shared" si="11"/>
        <v>#REF!</v>
      </c>
      <c r="G32" s="232" t="e">
        <f t="shared" si="6"/>
        <v>#REF!</v>
      </c>
      <c r="H32" s="239" t="e">
        <f t="shared" si="7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39"/>
      <c r="D33" s="41">
        <v>12</v>
      </c>
      <c r="E33" s="243" t="e">
        <f t="shared" si="5"/>
        <v>#REF!</v>
      </c>
      <c r="F33" s="42" t="e">
        <f t="shared" si="11"/>
        <v>#REF!</v>
      </c>
      <c r="G33" s="232" t="e">
        <f t="shared" si="6"/>
        <v>#REF!</v>
      </c>
      <c r="H33" s="239" t="e">
        <f t="shared" si="7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39"/>
      <c r="D34" s="41">
        <v>13</v>
      </c>
      <c r="E34" s="243" t="e">
        <f t="shared" si="5"/>
        <v>#REF!</v>
      </c>
      <c r="F34" s="42" t="e">
        <f t="shared" si="11"/>
        <v>#REF!</v>
      </c>
      <c r="G34" s="232" t="e">
        <f t="shared" si="6"/>
        <v>#REF!</v>
      </c>
      <c r="H34" s="239" t="e">
        <f t="shared" si="7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39"/>
      <c r="D35" s="41">
        <v>14</v>
      </c>
      <c r="E35" s="243" t="e">
        <f t="shared" si="5"/>
        <v>#REF!</v>
      </c>
      <c r="F35" s="42" t="e">
        <f t="shared" si="11"/>
        <v>#REF!</v>
      </c>
      <c r="G35" s="232" t="e">
        <f t="shared" si="6"/>
        <v>#REF!</v>
      </c>
      <c r="H35" s="239" t="e">
        <f t="shared" si="7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39"/>
      <c r="D36" s="41">
        <v>15</v>
      </c>
      <c r="E36" s="243" t="e">
        <f t="shared" si="5"/>
        <v>#REF!</v>
      </c>
      <c r="F36" s="42" t="e">
        <f t="shared" si="11"/>
        <v>#REF!</v>
      </c>
      <c r="G36" s="232" t="e">
        <f t="shared" si="6"/>
        <v>#REF!</v>
      </c>
      <c r="H36" s="239" t="e">
        <f t="shared" si="7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39"/>
      <c r="D37" s="41">
        <v>16</v>
      </c>
      <c r="E37" s="231" t="e">
        <f t="shared" si="5"/>
        <v>#REF!</v>
      </c>
      <c r="F37" s="42" t="e">
        <f t="shared" si="11"/>
        <v>#REF!</v>
      </c>
      <c r="G37" s="232" t="e">
        <f t="shared" si="6"/>
        <v>#REF!</v>
      </c>
      <c r="H37" s="239" t="e">
        <f t="shared" si="7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39"/>
      <c r="D38" s="41">
        <v>17</v>
      </c>
      <c r="E38" s="243" t="e">
        <f t="shared" si="5"/>
        <v>#REF!</v>
      </c>
      <c r="F38" s="42" t="e">
        <f t="shared" si="11"/>
        <v>#REF!</v>
      </c>
      <c r="G38" s="232" t="e">
        <f t="shared" si="6"/>
        <v>#REF!</v>
      </c>
      <c r="H38" s="239" t="e">
        <f t="shared" si="7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5510889.9299999997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4">HLOOKUP($O$3,#REF!,116+D46,0)</f>
        <v>#REF!</v>
      </c>
      <c r="F46" s="68"/>
      <c r="G46" s="232" t="e">
        <f t="shared" ref="G46:G49" si="15">HLOOKUP($O$3,#REF!,121+D46,0)</f>
        <v>#REF!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 t="s">
        <v>45</v>
      </c>
      <c r="K46" s="235" t="s">
        <v>46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4"/>
        <v>#REF!</v>
      </c>
      <c r="F47" s="69"/>
      <c r="G47" s="232" t="e">
        <f t="shared" si="15"/>
        <v>#REF!</v>
      </c>
      <c r="H47" s="239" t="e">
        <f t="shared" si="16"/>
        <v>#REF!</v>
      </c>
      <c r="I47" s="234" t="e">
        <f t="shared" si="17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4"/>
        <v>#REF!</v>
      </c>
      <c r="F48" s="69"/>
      <c r="G48" s="232" t="e">
        <f t="shared" si="15"/>
        <v>#REF!</v>
      </c>
      <c r="H48" s="239" t="e">
        <f t="shared" si="16"/>
        <v>#REF!</v>
      </c>
      <c r="I48" s="234" t="e">
        <f t="shared" si="17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4"/>
        <v>#REF!</v>
      </c>
      <c r="F49" s="69"/>
      <c r="G49" s="232" t="e">
        <f t="shared" si="15"/>
        <v>#REF!</v>
      </c>
      <c r="H49" s="239" t="e">
        <f t="shared" si="16"/>
        <v>#REF!</v>
      </c>
      <c r="I49" s="234" t="e">
        <f t="shared" si="17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19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19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19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19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0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0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0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0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120" priority="1" operator="lessThan">
      <formula>E20:E28</formula>
    </cfRule>
  </conditionalFormatting>
  <conditionalFormatting sqref="K46:K49">
    <cfRule type="cellIs" dxfId="119" priority="2" operator="lessThan">
      <formula>E46:E49</formula>
    </cfRule>
  </conditionalFormatting>
  <conditionalFormatting sqref="K57:K60">
    <cfRule type="cellIs" dxfId="118" priority="3" operator="lessThan">
      <formula>E57:E60</formula>
    </cfRule>
  </conditionalFormatting>
  <conditionalFormatting sqref="K68:K71">
    <cfRule type="cellIs" dxfId="117" priority="4" operator="lessThan">
      <formula>E68:E71</formula>
    </cfRule>
  </conditionalFormatting>
  <conditionalFormatting sqref="J20:O39 J46:O49 J57:O60 J68:O71">
    <cfRule type="cellIs" dxfId="116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115" priority="6" operator="equal">
      <formula>"DEV"</formula>
    </cfRule>
  </conditionalFormatting>
  <conditionalFormatting sqref="K20:K38 K46:K49 K57:K60 K68:K71 M20:M38 M46:M49 M57:M60 M68:M71 O20:O38 O46:O49 O57:O60 O68:O71">
    <cfRule type="cellIs" dxfId="114" priority="7" operator="equal">
      <formula>"no pago"</formula>
    </cfRule>
  </conditionalFormatting>
  <conditionalFormatting sqref="B1:D1 B2:E2">
    <cfRule type="expression" dxfId="113" priority="8">
      <formula>$E$1="NO"</formula>
    </cfRule>
  </conditionalFormatting>
  <conditionalFormatting sqref="B1:D1 B2:E2">
    <cfRule type="expression" dxfId="112" priority="9">
      <formula>$E$1="SI"</formula>
    </cfRule>
  </conditionalFormatting>
  <conditionalFormatting sqref="F1">
    <cfRule type="expression" dxfId="111" priority="10">
      <formula>$E$1="NO"</formula>
    </cfRule>
  </conditionalFormatting>
  <conditionalFormatting sqref="F1">
    <cfRule type="expression" dxfId="110" priority="11">
      <formula>$E$1="SI"</formula>
    </cfRule>
  </conditionalFormatting>
  <conditionalFormatting sqref="N7:O8">
    <cfRule type="cellIs" dxfId="109" priority="12" operator="equal">
      <formula>"PARALIZADA"</formula>
    </cfRule>
  </conditionalFormatting>
  <conditionalFormatting sqref="N7:O8">
    <cfRule type="cellIs" dxfId="108" priority="13" operator="equal">
      <formula>"EN EJECUCION"</formula>
    </cfRule>
  </conditionalFormatting>
  <conditionalFormatting sqref="N7:O8">
    <cfRule type="cellIs" dxfId="107" priority="14" operator="equal">
      <formula>"TERMINADA"</formula>
    </cfRule>
  </conditionalFormatting>
  <conditionalFormatting sqref="N7:O8">
    <cfRule type="cellIs" dxfId="106" priority="15" operator="equal">
      <formula>"COMPLETADA"</formula>
    </cfRule>
  </conditionalFormatting>
  <hyperlinks>
    <hyperlink ref="O1" location="null!A1" display="&lt; VOLVER" xr:uid="{00000000-0004-0000-1600-000000000000}"/>
    <hyperlink ref="E3" location="COLEC JUJUY!A1" display="COLECTOR CALLE JUJUY - ALBERTI" xr:uid="{00000000-0004-0000-1600-000001000000}"/>
    <hyperlink ref="Q3" location="null!A1" display="'BASE DATOS'!A1" xr:uid="{00000000-0004-0000-16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120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48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16199807.33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3" t="e">
        <f t="shared" ref="E22:E38" si="5">HLOOKUP($O$3,#REF!,42+D22,0)</f>
        <v>#REF!</v>
      </c>
      <c r="F22" s="42" t="e">
        <f>IF(E22=0,0,$G$7)</f>
        <v>#REF!</v>
      </c>
      <c r="G22" s="232" t="e">
        <f t="shared" ref="G22:G38" si="6">HLOOKUP($O$3,#REF!,63+D22,0)</f>
        <v>#REF!</v>
      </c>
      <c r="H22" s="233" t="e">
        <f t="shared" ref="H22:H38" si="7">HLOOKUP($O$3,#REF!,84+D22,0)</f>
        <v>#REF!</v>
      </c>
      <c r="I22" s="234" t="e">
        <f t="shared" si="3"/>
        <v>#REF!</v>
      </c>
      <c r="J22" s="218">
        <v>44384</v>
      </c>
      <c r="K22" s="235">
        <v>4644495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39"/>
      <c r="D23" s="41">
        <v>2</v>
      </c>
      <c r="E23" s="243" t="e">
        <f t="shared" si="5"/>
        <v>#REF!</v>
      </c>
      <c r="F23" s="42" t="e">
        <f t="shared" ref="F23:F38" si="11">EOMONTH(F22,1)</f>
        <v>#REF!</v>
      </c>
      <c r="G23" s="232" t="e">
        <f t="shared" si="6"/>
        <v>#REF!</v>
      </c>
      <c r="H23" s="233" t="e">
        <f t="shared" si="7"/>
        <v>#REF!</v>
      </c>
      <c r="I23" s="234" t="e">
        <f t="shared" si="3"/>
        <v>#REF!</v>
      </c>
      <c r="J23" s="218">
        <v>44298</v>
      </c>
      <c r="K23" s="235">
        <v>10249204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39"/>
      <c r="D24" s="41">
        <v>3</v>
      </c>
      <c r="E24" s="243" t="e">
        <f t="shared" si="5"/>
        <v>#REF!</v>
      </c>
      <c r="F24" s="42" t="e">
        <f t="shared" si="11"/>
        <v>#REF!</v>
      </c>
      <c r="G24" s="232" t="e">
        <f t="shared" si="6"/>
        <v>#REF!</v>
      </c>
      <c r="H24" s="233" t="e">
        <f t="shared" si="7"/>
        <v>#REF!</v>
      </c>
      <c r="I24" s="234" t="e">
        <f t="shared" si="3"/>
        <v>#REF!</v>
      </c>
      <c r="J24" s="218">
        <v>44328</v>
      </c>
      <c r="K24" s="235">
        <v>1306108.33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39"/>
      <c r="D25" s="41">
        <v>4</v>
      </c>
      <c r="E25" s="243" t="e">
        <f t="shared" si="5"/>
        <v>#REF!</v>
      </c>
      <c r="F25" s="42" t="e">
        <f t="shared" si="11"/>
        <v>#REF!</v>
      </c>
      <c r="G25" s="232" t="e">
        <f t="shared" si="6"/>
        <v>#REF!</v>
      </c>
      <c r="H25" s="233" t="e">
        <f t="shared" si="7"/>
        <v>#REF!</v>
      </c>
      <c r="I25" s="234" t="e">
        <f t="shared" si="3"/>
        <v>#REF!</v>
      </c>
      <c r="J25" s="218" t="s">
        <v>45</v>
      </c>
      <c r="K25" s="235" t="s">
        <v>46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39"/>
      <c r="D26" s="41">
        <v>5</v>
      </c>
      <c r="E26" s="243" t="e">
        <f t="shared" si="5"/>
        <v>#REF!</v>
      </c>
      <c r="F26" s="42" t="e">
        <f t="shared" si="11"/>
        <v>#REF!</v>
      </c>
      <c r="G26" s="232" t="e">
        <f t="shared" si="6"/>
        <v>#REF!</v>
      </c>
      <c r="H26" s="233" t="e">
        <f t="shared" si="7"/>
        <v>#REF!</v>
      </c>
      <c r="I26" s="234" t="e">
        <f t="shared" si="3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39"/>
      <c r="D27" s="41">
        <v>6</v>
      </c>
      <c r="E27" s="243" t="e">
        <f t="shared" si="5"/>
        <v>#REF!</v>
      </c>
      <c r="F27" s="42" t="e">
        <f t="shared" si="11"/>
        <v>#REF!</v>
      </c>
      <c r="G27" s="232" t="e">
        <f t="shared" si="6"/>
        <v>#REF!</v>
      </c>
      <c r="H27" s="239" t="e">
        <f t="shared" si="7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39"/>
      <c r="D28" s="41">
        <v>7</v>
      </c>
      <c r="E28" s="243" t="e">
        <f t="shared" si="5"/>
        <v>#REF!</v>
      </c>
      <c r="F28" s="42" t="e">
        <f t="shared" si="11"/>
        <v>#REF!</v>
      </c>
      <c r="G28" s="232" t="e">
        <f t="shared" si="6"/>
        <v>#REF!</v>
      </c>
      <c r="H28" s="239" t="e">
        <f t="shared" si="7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39"/>
      <c r="D29" s="41">
        <v>8</v>
      </c>
      <c r="E29" s="243" t="e">
        <f t="shared" si="5"/>
        <v>#REF!</v>
      </c>
      <c r="F29" s="42" t="e">
        <f t="shared" si="11"/>
        <v>#REF!</v>
      </c>
      <c r="G29" s="232" t="e">
        <f t="shared" si="6"/>
        <v>#REF!</v>
      </c>
      <c r="H29" s="239" t="e">
        <f t="shared" si="7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39"/>
      <c r="D30" s="41">
        <v>9</v>
      </c>
      <c r="E30" s="243" t="e">
        <f t="shared" si="5"/>
        <v>#REF!</v>
      </c>
      <c r="F30" s="42" t="e">
        <f t="shared" si="11"/>
        <v>#REF!</v>
      </c>
      <c r="G30" s="232" t="e">
        <f t="shared" si="6"/>
        <v>#REF!</v>
      </c>
      <c r="H30" s="239" t="e">
        <f t="shared" si="7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39"/>
      <c r="D31" s="41">
        <v>10</v>
      </c>
      <c r="E31" s="243" t="e">
        <f t="shared" si="5"/>
        <v>#REF!</v>
      </c>
      <c r="F31" s="42" t="e">
        <f t="shared" si="11"/>
        <v>#REF!</v>
      </c>
      <c r="G31" s="232" t="e">
        <f t="shared" si="6"/>
        <v>#REF!</v>
      </c>
      <c r="H31" s="239" t="e">
        <f t="shared" si="7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39"/>
      <c r="D32" s="41">
        <v>11</v>
      </c>
      <c r="E32" s="243" t="e">
        <f t="shared" si="5"/>
        <v>#REF!</v>
      </c>
      <c r="F32" s="42" t="e">
        <f t="shared" si="11"/>
        <v>#REF!</v>
      </c>
      <c r="G32" s="232" t="e">
        <f t="shared" si="6"/>
        <v>#REF!</v>
      </c>
      <c r="H32" s="239" t="e">
        <f t="shared" si="7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39"/>
      <c r="D33" s="41">
        <v>12</v>
      </c>
      <c r="E33" s="243" t="e">
        <f t="shared" si="5"/>
        <v>#REF!</v>
      </c>
      <c r="F33" s="42" t="e">
        <f t="shared" si="11"/>
        <v>#REF!</v>
      </c>
      <c r="G33" s="232" t="e">
        <f t="shared" si="6"/>
        <v>#REF!</v>
      </c>
      <c r="H33" s="239" t="e">
        <f t="shared" si="7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39"/>
      <c r="D34" s="41">
        <v>13</v>
      </c>
      <c r="E34" s="243" t="e">
        <f t="shared" si="5"/>
        <v>#REF!</v>
      </c>
      <c r="F34" s="42" t="e">
        <f t="shared" si="11"/>
        <v>#REF!</v>
      </c>
      <c r="G34" s="232" t="e">
        <f t="shared" si="6"/>
        <v>#REF!</v>
      </c>
      <c r="H34" s="239" t="e">
        <f t="shared" si="7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39"/>
      <c r="D35" s="41">
        <v>14</v>
      </c>
      <c r="E35" s="243" t="e">
        <f t="shared" si="5"/>
        <v>#REF!</v>
      </c>
      <c r="F35" s="42" t="e">
        <f t="shared" si="11"/>
        <v>#REF!</v>
      </c>
      <c r="G35" s="232" t="e">
        <f t="shared" si="6"/>
        <v>#REF!</v>
      </c>
      <c r="H35" s="239" t="e">
        <f t="shared" si="7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39"/>
      <c r="D36" s="41">
        <v>15</v>
      </c>
      <c r="E36" s="243" t="e">
        <f t="shared" si="5"/>
        <v>#REF!</v>
      </c>
      <c r="F36" s="42" t="e">
        <f t="shared" si="11"/>
        <v>#REF!</v>
      </c>
      <c r="G36" s="232" t="e">
        <f t="shared" si="6"/>
        <v>#REF!</v>
      </c>
      <c r="H36" s="239" t="e">
        <f t="shared" si="7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39"/>
      <c r="D37" s="41">
        <v>16</v>
      </c>
      <c r="E37" s="231" t="e">
        <f t="shared" si="5"/>
        <v>#REF!</v>
      </c>
      <c r="F37" s="42" t="e">
        <f t="shared" si="11"/>
        <v>#REF!</v>
      </c>
      <c r="G37" s="232" t="e">
        <f t="shared" si="6"/>
        <v>#REF!</v>
      </c>
      <c r="H37" s="239" t="e">
        <f t="shared" si="7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39"/>
      <c r="D38" s="41">
        <v>17</v>
      </c>
      <c r="E38" s="243" t="e">
        <f t="shared" si="5"/>
        <v>#REF!</v>
      </c>
      <c r="F38" s="42" t="e">
        <f t="shared" si="11"/>
        <v>#REF!</v>
      </c>
      <c r="G38" s="232" t="e">
        <f t="shared" si="6"/>
        <v>#REF!</v>
      </c>
      <c r="H38" s="239" t="e">
        <f t="shared" si="7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16199807.33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4">HLOOKUP($O$3,#REF!,116+D46,0)</f>
        <v>#REF!</v>
      </c>
      <c r="F46" s="68"/>
      <c r="G46" s="232" t="e">
        <f t="shared" ref="G46:G49" si="15">HLOOKUP($O$3,#REF!,121+D46,0)</f>
        <v>#REF!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 t="s">
        <v>45</v>
      </c>
      <c r="K46" s="235" t="s">
        <v>46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4"/>
        <v>#REF!</v>
      </c>
      <c r="F47" s="69"/>
      <c r="G47" s="232" t="e">
        <f t="shared" si="15"/>
        <v>#REF!</v>
      </c>
      <c r="H47" s="239" t="e">
        <f t="shared" si="16"/>
        <v>#REF!</v>
      </c>
      <c r="I47" s="234" t="e">
        <f t="shared" si="17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4"/>
        <v>#REF!</v>
      </c>
      <c r="F48" s="69"/>
      <c r="G48" s="232" t="e">
        <f t="shared" si="15"/>
        <v>#REF!</v>
      </c>
      <c r="H48" s="239" t="e">
        <f t="shared" si="16"/>
        <v>#REF!</v>
      </c>
      <c r="I48" s="234" t="e">
        <f t="shared" si="17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4"/>
        <v>#REF!</v>
      </c>
      <c r="F49" s="69"/>
      <c r="G49" s="232" t="e">
        <f t="shared" si="15"/>
        <v>#REF!</v>
      </c>
      <c r="H49" s="239" t="e">
        <f t="shared" si="16"/>
        <v>#REF!</v>
      </c>
      <c r="I49" s="234" t="e">
        <f t="shared" si="17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19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19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19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19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0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0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0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0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105" priority="1" operator="lessThan">
      <formula>E20:E28</formula>
    </cfRule>
  </conditionalFormatting>
  <conditionalFormatting sqref="K46:K49">
    <cfRule type="cellIs" dxfId="104" priority="2" operator="lessThan">
      <formula>E46:E49</formula>
    </cfRule>
  </conditionalFormatting>
  <conditionalFormatting sqref="K57:K60">
    <cfRule type="cellIs" dxfId="103" priority="3" operator="lessThan">
      <formula>E57:E60</formula>
    </cfRule>
  </conditionalFormatting>
  <conditionalFormatting sqref="K68:K71">
    <cfRule type="cellIs" dxfId="102" priority="4" operator="lessThan">
      <formula>E68:E71</formula>
    </cfRule>
  </conditionalFormatting>
  <conditionalFormatting sqref="J20:O39 J46:O49 J57:O60 J68:O71">
    <cfRule type="cellIs" dxfId="101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100" priority="6" operator="equal">
      <formula>"DEV"</formula>
    </cfRule>
  </conditionalFormatting>
  <conditionalFormatting sqref="K20:K38 K46:K49 K57:K60 K68:K71 M20:M38 M46:M49 M57:M60 M68:M71 O20:O38 O46:O49 O57:O60 O68:O71">
    <cfRule type="cellIs" dxfId="99" priority="7" operator="equal">
      <formula>"no pago"</formula>
    </cfRule>
  </conditionalFormatting>
  <conditionalFormatting sqref="B1:D1 B2:E2">
    <cfRule type="expression" dxfId="98" priority="8">
      <formula>$E$1="NO"</formula>
    </cfRule>
  </conditionalFormatting>
  <conditionalFormatting sqref="B1:D1 B2:E2">
    <cfRule type="expression" dxfId="97" priority="9">
      <formula>$E$1="SI"</formula>
    </cfRule>
  </conditionalFormatting>
  <conditionalFormatting sqref="F1">
    <cfRule type="expression" dxfId="96" priority="10">
      <formula>$E$1="NO"</formula>
    </cfRule>
  </conditionalFormatting>
  <conditionalFormatting sqref="F1">
    <cfRule type="expression" dxfId="95" priority="11">
      <formula>$E$1="SI"</formula>
    </cfRule>
  </conditionalFormatting>
  <conditionalFormatting sqref="N7:O8">
    <cfRule type="cellIs" dxfId="94" priority="12" operator="equal">
      <formula>"PARALIZADA"</formula>
    </cfRule>
  </conditionalFormatting>
  <conditionalFormatting sqref="N7:O8">
    <cfRule type="cellIs" dxfId="93" priority="13" operator="equal">
      <formula>"EN EJECUCION"</formula>
    </cfRule>
  </conditionalFormatting>
  <conditionalFormatting sqref="N7:O8">
    <cfRule type="cellIs" dxfId="92" priority="14" operator="equal">
      <formula>"TERMINADA"</formula>
    </cfRule>
  </conditionalFormatting>
  <conditionalFormatting sqref="N7:O8">
    <cfRule type="cellIs" dxfId="91" priority="15" operator="equal">
      <formula>"COMPLETADA"</formula>
    </cfRule>
  </conditionalFormatting>
  <hyperlinks>
    <hyperlink ref="O1" location="null!A1" display="&lt; VOLVER" xr:uid="{00000000-0004-0000-1700-000000000000}"/>
    <hyperlink ref="E3" location="MAT FERRY!A1" display="MATERIALES ILUM PARQUE FERRY" xr:uid="{00000000-0004-0000-1700-000001000000}"/>
    <hyperlink ref="Q3" location="null!A1" display="'BASE DATOS'!A1" xr:uid="{00000000-0004-0000-17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121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49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s">
        <v>15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7657136.9500000002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3" t="e">
        <f t="shared" ref="E22:E38" si="5">HLOOKUP($O$3,#REF!,42+D22,0)</f>
        <v>#REF!</v>
      </c>
      <c r="F22" s="42" t="e">
        <f>IF(E22=0,0,$G$7)</f>
        <v>#REF!</v>
      </c>
      <c r="G22" s="232" t="e">
        <f t="shared" ref="G22:G38" si="6">HLOOKUP($O$3,#REF!,63+D22,0)</f>
        <v>#REF!</v>
      </c>
      <c r="H22" s="233" t="e">
        <f t="shared" ref="H22:H38" si="7">HLOOKUP($O$3,#REF!,84+D22,0)</f>
        <v>#REF!</v>
      </c>
      <c r="I22" s="234" t="e">
        <f t="shared" si="3"/>
        <v>#REF!</v>
      </c>
      <c r="J22" s="218">
        <v>44421</v>
      </c>
      <c r="K22" s="235">
        <v>1010742.08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39"/>
      <c r="D23" s="41">
        <v>2</v>
      </c>
      <c r="E23" s="243" t="e">
        <f t="shared" si="5"/>
        <v>#REF!</v>
      </c>
      <c r="F23" s="42" t="e">
        <f t="shared" ref="F23:F38" si="11">EOMONTH(F22,1)</f>
        <v>#REF!</v>
      </c>
      <c r="G23" s="232" t="e">
        <f t="shared" si="6"/>
        <v>#REF!</v>
      </c>
      <c r="H23" s="233" t="e">
        <f t="shared" si="7"/>
        <v>#REF!</v>
      </c>
      <c r="I23" s="234" t="e">
        <f t="shared" si="3"/>
        <v>#REF!</v>
      </c>
      <c r="J23" s="218">
        <v>44453</v>
      </c>
      <c r="K23" s="235">
        <v>4069768.29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39"/>
      <c r="D24" s="41">
        <v>3</v>
      </c>
      <c r="E24" s="243" t="e">
        <f t="shared" si="5"/>
        <v>#REF!</v>
      </c>
      <c r="F24" s="42" t="e">
        <f t="shared" si="11"/>
        <v>#REF!</v>
      </c>
      <c r="G24" s="232" t="e">
        <f t="shared" si="6"/>
        <v>#REF!</v>
      </c>
      <c r="H24" s="233" t="e">
        <f t="shared" si="7"/>
        <v>#REF!</v>
      </c>
      <c r="I24" s="234" t="e">
        <f t="shared" si="3"/>
        <v>#REF!</v>
      </c>
      <c r="J24" s="218">
        <v>44481</v>
      </c>
      <c r="K24" s="235">
        <v>2576626.58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39"/>
      <c r="D25" s="41">
        <v>4</v>
      </c>
      <c r="E25" s="243" t="e">
        <f t="shared" si="5"/>
        <v>#REF!</v>
      </c>
      <c r="F25" s="42" t="e">
        <f t="shared" si="11"/>
        <v>#REF!</v>
      </c>
      <c r="G25" s="232" t="e">
        <f t="shared" si="6"/>
        <v>#REF!</v>
      </c>
      <c r="H25" s="233" t="e">
        <f t="shared" si="7"/>
        <v>#REF!</v>
      </c>
      <c r="I25" s="234" t="e">
        <f t="shared" si="3"/>
        <v>#REF!</v>
      </c>
      <c r="J25" s="218" t="s">
        <v>45</v>
      </c>
      <c r="K25" s="235" t="s">
        <v>46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39"/>
      <c r="D26" s="41">
        <v>5</v>
      </c>
      <c r="E26" s="243" t="e">
        <f t="shared" si="5"/>
        <v>#REF!</v>
      </c>
      <c r="F26" s="42" t="e">
        <f t="shared" si="11"/>
        <v>#REF!</v>
      </c>
      <c r="G26" s="232" t="e">
        <f t="shared" si="6"/>
        <v>#REF!</v>
      </c>
      <c r="H26" s="233" t="e">
        <f t="shared" si="7"/>
        <v>#REF!</v>
      </c>
      <c r="I26" s="234" t="e">
        <f t="shared" si="3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39"/>
      <c r="D27" s="41">
        <v>6</v>
      </c>
      <c r="E27" s="243" t="e">
        <f t="shared" si="5"/>
        <v>#REF!</v>
      </c>
      <c r="F27" s="42" t="e">
        <f t="shared" si="11"/>
        <v>#REF!</v>
      </c>
      <c r="G27" s="232" t="e">
        <f t="shared" si="6"/>
        <v>#REF!</v>
      </c>
      <c r="H27" s="239" t="e">
        <f t="shared" si="7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39"/>
      <c r="D28" s="41">
        <v>7</v>
      </c>
      <c r="E28" s="243" t="e">
        <f t="shared" si="5"/>
        <v>#REF!</v>
      </c>
      <c r="F28" s="42" t="e">
        <f t="shared" si="11"/>
        <v>#REF!</v>
      </c>
      <c r="G28" s="232" t="e">
        <f t="shared" si="6"/>
        <v>#REF!</v>
      </c>
      <c r="H28" s="239" t="e">
        <f t="shared" si="7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39"/>
      <c r="D29" s="41">
        <v>8</v>
      </c>
      <c r="E29" s="243" t="e">
        <f t="shared" si="5"/>
        <v>#REF!</v>
      </c>
      <c r="F29" s="42" t="e">
        <f t="shared" si="11"/>
        <v>#REF!</v>
      </c>
      <c r="G29" s="232" t="e">
        <f t="shared" si="6"/>
        <v>#REF!</v>
      </c>
      <c r="H29" s="239" t="e">
        <f t="shared" si="7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39"/>
      <c r="D30" s="41">
        <v>9</v>
      </c>
      <c r="E30" s="243" t="e">
        <f t="shared" si="5"/>
        <v>#REF!</v>
      </c>
      <c r="F30" s="42" t="e">
        <f t="shared" si="11"/>
        <v>#REF!</v>
      </c>
      <c r="G30" s="232" t="e">
        <f t="shared" si="6"/>
        <v>#REF!</v>
      </c>
      <c r="H30" s="239" t="e">
        <f t="shared" si="7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39"/>
      <c r="D31" s="41">
        <v>10</v>
      </c>
      <c r="E31" s="243" t="e">
        <f t="shared" si="5"/>
        <v>#REF!</v>
      </c>
      <c r="F31" s="42" t="e">
        <f t="shared" si="11"/>
        <v>#REF!</v>
      </c>
      <c r="G31" s="232" t="e">
        <f t="shared" si="6"/>
        <v>#REF!</v>
      </c>
      <c r="H31" s="239" t="e">
        <f t="shared" si="7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39"/>
      <c r="D32" s="41">
        <v>11</v>
      </c>
      <c r="E32" s="243" t="e">
        <f t="shared" si="5"/>
        <v>#REF!</v>
      </c>
      <c r="F32" s="42" t="e">
        <f t="shared" si="11"/>
        <v>#REF!</v>
      </c>
      <c r="G32" s="232" t="e">
        <f t="shared" si="6"/>
        <v>#REF!</v>
      </c>
      <c r="H32" s="239" t="e">
        <f t="shared" si="7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39"/>
      <c r="D33" s="41">
        <v>12</v>
      </c>
      <c r="E33" s="243" t="e">
        <f t="shared" si="5"/>
        <v>#REF!</v>
      </c>
      <c r="F33" s="42" t="e">
        <f t="shared" si="11"/>
        <v>#REF!</v>
      </c>
      <c r="G33" s="232" t="e">
        <f t="shared" si="6"/>
        <v>#REF!</v>
      </c>
      <c r="H33" s="239" t="e">
        <f t="shared" si="7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39"/>
      <c r="D34" s="41">
        <v>13</v>
      </c>
      <c r="E34" s="243" t="e">
        <f t="shared" si="5"/>
        <v>#REF!</v>
      </c>
      <c r="F34" s="42" t="e">
        <f t="shared" si="11"/>
        <v>#REF!</v>
      </c>
      <c r="G34" s="232" t="e">
        <f t="shared" si="6"/>
        <v>#REF!</v>
      </c>
      <c r="H34" s="239" t="e">
        <f t="shared" si="7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39"/>
      <c r="D35" s="41">
        <v>14</v>
      </c>
      <c r="E35" s="243" t="e">
        <f t="shared" si="5"/>
        <v>#REF!</v>
      </c>
      <c r="F35" s="42" t="e">
        <f t="shared" si="11"/>
        <v>#REF!</v>
      </c>
      <c r="G35" s="232" t="e">
        <f t="shared" si="6"/>
        <v>#REF!</v>
      </c>
      <c r="H35" s="239" t="e">
        <f t="shared" si="7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39"/>
      <c r="D36" s="41">
        <v>15</v>
      </c>
      <c r="E36" s="243" t="e">
        <f t="shared" si="5"/>
        <v>#REF!</v>
      </c>
      <c r="F36" s="42" t="e">
        <f t="shared" si="11"/>
        <v>#REF!</v>
      </c>
      <c r="G36" s="232" t="e">
        <f t="shared" si="6"/>
        <v>#REF!</v>
      </c>
      <c r="H36" s="239" t="e">
        <f t="shared" si="7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39"/>
      <c r="D37" s="41">
        <v>16</v>
      </c>
      <c r="E37" s="231" t="e">
        <f t="shared" si="5"/>
        <v>#REF!</v>
      </c>
      <c r="F37" s="42" t="e">
        <f t="shared" si="11"/>
        <v>#REF!</v>
      </c>
      <c r="G37" s="232" t="e">
        <f t="shared" si="6"/>
        <v>#REF!</v>
      </c>
      <c r="H37" s="239" t="e">
        <f t="shared" si="7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39"/>
      <c r="D38" s="41">
        <v>17</v>
      </c>
      <c r="E38" s="243" t="e">
        <f t="shared" si="5"/>
        <v>#REF!</v>
      </c>
      <c r="F38" s="42" t="e">
        <f t="shared" si="11"/>
        <v>#REF!</v>
      </c>
      <c r="G38" s="232" t="e">
        <f t="shared" si="6"/>
        <v>#REF!</v>
      </c>
      <c r="H38" s="239" t="e">
        <f t="shared" si="7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7657136.9500000002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4">HLOOKUP($O$3,#REF!,116+D46,0)</f>
        <v>#REF!</v>
      </c>
      <c r="F46" s="68"/>
      <c r="G46" s="232" t="e">
        <f t="shared" ref="G46:G49" si="15">HLOOKUP($O$3,#REF!,121+D46,0)</f>
        <v>#REF!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 t="s">
        <v>45</v>
      </c>
      <c r="K46" s="235" t="s">
        <v>46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4"/>
        <v>#REF!</v>
      </c>
      <c r="F47" s="69"/>
      <c r="G47" s="232" t="e">
        <f t="shared" si="15"/>
        <v>#REF!</v>
      </c>
      <c r="H47" s="239" t="e">
        <f t="shared" si="16"/>
        <v>#REF!</v>
      </c>
      <c r="I47" s="234" t="e">
        <f t="shared" si="17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4"/>
        <v>#REF!</v>
      </c>
      <c r="F48" s="69"/>
      <c r="G48" s="232" t="e">
        <f t="shared" si="15"/>
        <v>#REF!</v>
      </c>
      <c r="H48" s="239" t="e">
        <f t="shared" si="16"/>
        <v>#REF!</v>
      </c>
      <c r="I48" s="234" t="e">
        <f t="shared" si="17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4"/>
        <v>#REF!</v>
      </c>
      <c r="F49" s="69"/>
      <c r="G49" s="232" t="e">
        <f t="shared" si="15"/>
        <v>#REF!</v>
      </c>
      <c r="H49" s="239" t="e">
        <f t="shared" si="16"/>
        <v>#REF!</v>
      </c>
      <c r="I49" s="234" t="e">
        <f t="shared" si="17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19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19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19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19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0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0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0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0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90" priority="1" operator="lessThan">
      <formula>E20:E28</formula>
    </cfRule>
  </conditionalFormatting>
  <conditionalFormatting sqref="K46:K49">
    <cfRule type="cellIs" dxfId="89" priority="2" operator="lessThan">
      <formula>E46:E49</formula>
    </cfRule>
  </conditionalFormatting>
  <conditionalFormatting sqref="K57:K60">
    <cfRule type="cellIs" dxfId="88" priority="3" operator="lessThan">
      <formula>E57:E60</formula>
    </cfRule>
  </conditionalFormatting>
  <conditionalFormatting sqref="K68:K71">
    <cfRule type="cellIs" dxfId="87" priority="4" operator="lessThan">
      <formula>E68:E71</formula>
    </cfRule>
  </conditionalFormatting>
  <conditionalFormatting sqref="J20:O39 J46:O49 J57:O60 J68:O71">
    <cfRule type="cellIs" dxfId="86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85" priority="6" operator="equal">
      <formula>"DEV"</formula>
    </cfRule>
  </conditionalFormatting>
  <conditionalFormatting sqref="K20:K38 K46:K49 K57:K60 K68:K71 M20:M38 M46:M49 M57:M60 M68:M71 O20:O38 O46:O49 O57:O60 O68:O71">
    <cfRule type="cellIs" dxfId="84" priority="7" operator="equal">
      <formula>"no pago"</formula>
    </cfRule>
  </conditionalFormatting>
  <conditionalFormatting sqref="B1:D1 B2:E2">
    <cfRule type="expression" dxfId="83" priority="8">
      <formula>$E$1="NO"</formula>
    </cfRule>
  </conditionalFormatting>
  <conditionalFormatting sqref="B1:D1 B2:E2">
    <cfRule type="expression" dxfId="82" priority="9">
      <formula>$E$1="SI"</formula>
    </cfRule>
  </conditionalFormatting>
  <conditionalFormatting sqref="F1">
    <cfRule type="expression" dxfId="81" priority="10">
      <formula>$E$1="NO"</formula>
    </cfRule>
  </conditionalFormatting>
  <conditionalFormatting sqref="F1">
    <cfRule type="expression" dxfId="80" priority="11">
      <formula>$E$1="SI"</formula>
    </cfRule>
  </conditionalFormatting>
  <conditionalFormatting sqref="N7:O8">
    <cfRule type="cellIs" dxfId="79" priority="12" operator="equal">
      <formula>"PARALIZADA"</formula>
    </cfRule>
  </conditionalFormatting>
  <conditionalFormatting sqref="N7:O8">
    <cfRule type="cellIs" dxfId="78" priority="13" operator="equal">
      <formula>"EN EJECUCION"</formula>
    </cfRule>
  </conditionalFormatting>
  <conditionalFormatting sqref="N7:O8">
    <cfRule type="cellIs" dxfId="77" priority="14" operator="equal">
      <formula>"TERMINADA"</formula>
    </cfRule>
  </conditionalFormatting>
  <conditionalFormatting sqref="N7:O8">
    <cfRule type="cellIs" dxfId="76" priority="15" operator="equal">
      <formula>"COMPLETADA"</formula>
    </cfRule>
  </conditionalFormatting>
  <hyperlinks>
    <hyperlink ref="O1" location="null!A1" display="&lt; VOLVER" xr:uid="{00000000-0004-0000-1800-000000000000}"/>
    <hyperlink ref="E3" location="M.O. FERRY!A1" display="MANO DE OBRA ILUMINACIÓN PARQUE FERRY" xr:uid="{00000000-0004-0000-1800-000001000000}"/>
    <hyperlink ref="Q3" location="null!A1" display="'BASE DATOS'!A1" xr:uid="{00000000-0004-0000-18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122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52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 t="e">
        <f>K40</f>
        <v>#REF!</v>
      </c>
      <c r="H13" s="22" t="e">
        <f>K51</f>
        <v>#REF!</v>
      </c>
      <c r="I13" s="203" t="e">
        <f>L40+N40+L51+N51</f>
        <v>#REF!</v>
      </c>
      <c r="J13" s="340" t="e">
        <f>K62</f>
        <v>#REF!</v>
      </c>
      <c r="K13" s="373"/>
      <c r="L13" s="335" t="e">
        <f>K73</f>
        <v>#REF!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e">
        <f t="shared" ref="K20:K38" si="4">IF(E20=0,"sin certificar",IF(J20="-","no pago",IF(J20&gt;0,"DEV",0)))</f>
        <v>#REF!</v>
      </c>
      <c r="L20" s="220" t="s">
        <v>45</v>
      </c>
      <c r="M20" s="221" t="str">
        <f t="shared" ref="M20:M38" si="5">IF(G20=0,"sin certificar",IF(L20="-","no pago",IF(L20&gt;0,"DEV",0)))</f>
        <v>sin certificar</v>
      </c>
      <c r="N20" s="222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e">
        <f t="shared" si="4"/>
        <v>#REF!</v>
      </c>
      <c r="L21" s="228" t="s">
        <v>45</v>
      </c>
      <c r="M21" s="229" t="e">
        <f t="shared" si="5"/>
        <v>#REF!</v>
      </c>
      <c r="N21" s="230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3" t="e">
        <f t="shared" ref="E22:E38" si="8">HLOOKUP($O$3,#REF!,42+D22,0)</f>
        <v>#REF!</v>
      </c>
      <c r="F22" s="42" t="e">
        <f>IF(E22=0,0,$G$7)</f>
        <v>#REF!</v>
      </c>
      <c r="G22" s="232" t="e">
        <f t="shared" ref="G22:G38" si="9">HLOOKUP($O$3,#REF!,63+D22,0)</f>
        <v>#REF!</v>
      </c>
      <c r="H22" s="233" t="e">
        <f t="shared" ref="H22:H38" si="10">HLOOKUP($O$3,#REF!,84+D22,0)</f>
        <v>#REF!</v>
      </c>
      <c r="I22" s="234" t="e">
        <f t="shared" si="3"/>
        <v>#REF!</v>
      </c>
      <c r="J22" s="218" t="s">
        <v>45</v>
      </c>
      <c r="K22" s="235" t="e">
        <f t="shared" si="4"/>
        <v>#REF!</v>
      </c>
      <c r="L22" s="240" t="s">
        <v>45</v>
      </c>
      <c r="M22" s="237" t="e">
        <f t="shared" si="5"/>
        <v>#REF!</v>
      </c>
      <c r="N22" s="241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7"/>
        <v>#REF!</v>
      </c>
      <c r="C23" s="39"/>
      <c r="D23" s="41">
        <v>2</v>
      </c>
      <c r="E23" s="243" t="e">
        <f t="shared" si="8"/>
        <v>#REF!</v>
      </c>
      <c r="F23" s="42" t="e">
        <f t="shared" ref="F23:F38" si="14">EOMONTH(F22,1)</f>
        <v>#REF!</v>
      </c>
      <c r="G23" s="232" t="e">
        <f t="shared" si="9"/>
        <v>#REF!</v>
      </c>
      <c r="H23" s="233" t="e">
        <f t="shared" si="10"/>
        <v>#REF!</v>
      </c>
      <c r="I23" s="234" t="e">
        <f t="shared" si="3"/>
        <v>#REF!</v>
      </c>
      <c r="J23" s="218" t="s">
        <v>45</v>
      </c>
      <c r="K23" s="235" t="e">
        <f t="shared" si="4"/>
        <v>#REF!</v>
      </c>
      <c r="L23" s="240" t="s">
        <v>45</v>
      </c>
      <c r="M23" s="237" t="e">
        <f t="shared" si="5"/>
        <v>#REF!</v>
      </c>
      <c r="N23" s="241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7"/>
        <v>#REF!</v>
      </c>
      <c r="C24" s="39"/>
      <c r="D24" s="41">
        <v>3</v>
      </c>
      <c r="E24" s="243" t="e">
        <f t="shared" si="8"/>
        <v>#REF!</v>
      </c>
      <c r="F24" s="42" t="e">
        <f t="shared" si="14"/>
        <v>#REF!</v>
      </c>
      <c r="G24" s="232" t="e">
        <f t="shared" si="9"/>
        <v>#REF!</v>
      </c>
      <c r="H24" s="233" t="e">
        <f t="shared" si="10"/>
        <v>#REF!</v>
      </c>
      <c r="I24" s="234" t="e">
        <f t="shared" si="3"/>
        <v>#REF!</v>
      </c>
      <c r="J24" s="218" t="s">
        <v>45</v>
      </c>
      <c r="K24" s="235" t="e">
        <f t="shared" si="4"/>
        <v>#REF!</v>
      </c>
      <c r="L24" s="240" t="s">
        <v>45</v>
      </c>
      <c r="M24" s="237" t="e">
        <f t="shared" si="5"/>
        <v>#REF!</v>
      </c>
      <c r="N24" s="241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7"/>
        <v>#REF!</v>
      </c>
      <c r="C25" s="39"/>
      <c r="D25" s="41">
        <v>4</v>
      </c>
      <c r="E25" s="243" t="e">
        <f t="shared" si="8"/>
        <v>#REF!</v>
      </c>
      <c r="F25" s="42" t="e">
        <f t="shared" si="14"/>
        <v>#REF!</v>
      </c>
      <c r="G25" s="232" t="e">
        <f t="shared" si="9"/>
        <v>#REF!</v>
      </c>
      <c r="H25" s="233" t="e">
        <f t="shared" si="10"/>
        <v>#REF!</v>
      </c>
      <c r="I25" s="234" t="e">
        <f t="shared" si="3"/>
        <v>#REF!</v>
      </c>
      <c r="J25" s="218" t="s">
        <v>45</v>
      </c>
      <c r="K25" s="235" t="e">
        <f t="shared" si="4"/>
        <v>#REF!</v>
      </c>
      <c r="L25" s="240" t="s">
        <v>45</v>
      </c>
      <c r="M25" s="237" t="e">
        <f t="shared" si="5"/>
        <v>#REF!</v>
      </c>
      <c r="N25" s="241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7"/>
        <v>#REF!</v>
      </c>
      <c r="C26" s="39"/>
      <c r="D26" s="41">
        <v>5</v>
      </c>
      <c r="E26" s="243" t="e">
        <f t="shared" si="8"/>
        <v>#REF!</v>
      </c>
      <c r="F26" s="42" t="e">
        <f t="shared" si="14"/>
        <v>#REF!</v>
      </c>
      <c r="G26" s="232" t="e">
        <f t="shared" si="9"/>
        <v>#REF!</v>
      </c>
      <c r="H26" s="233" t="e">
        <f t="shared" si="10"/>
        <v>#REF!</v>
      </c>
      <c r="I26" s="234" t="e">
        <f t="shared" si="3"/>
        <v>#REF!</v>
      </c>
      <c r="J26" s="218" t="s">
        <v>45</v>
      </c>
      <c r="K26" s="235" t="e">
        <f t="shared" si="4"/>
        <v>#REF!</v>
      </c>
      <c r="L26" s="240" t="s">
        <v>45</v>
      </c>
      <c r="M26" s="237" t="e">
        <f t="shared" si="5"/>
        <v>#REF!</v>
      </c>
      <c r="N26" s="241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7"/>
        <v>#REF!</v>
      </c>
      <c r="C27" s="39"/>
      <c r="D27" s="41">
        <v>6</v>
      </c>
      <c r="E27" s="243" t="e">
        <f t="shared" si="8"/>
        <v>#REF!</v>
      </c>
      <c r="F27" s="42" t="e">
        <f t="shared" si="14"/>
        <v>#REF!</v>
      </c>
      <c r="G27" s="232" t="e">
        <f t="shared" si="9"/>
        <v>#REF!</v>
      </c>
      <c r="H27" s="239" t="e">
        <f t="shared" si="10"/>
        <v>#REF!</v>
      </c>
      <c r="I27" s="234" t="e">
        <f t="shared" si="3"/>
        <v>#REF!</v>
      </c>
      <c r="J27" s="218" t="s">
        <v>45</v>
      </c>
      <c r="K27" s="235" t="e">
        <f t="shared" si="4"/>
        <v>#REF!</v>
      </c>
      <c r="L27" s="240" t="s">
        <v>45</v>
      </c>
      <c r="M27" s="237" t="e">
        <f t="shared" si="5"/>
        <v>#REF!</v>
      </c>
      <c r="N27" s="241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7"/>
        <v>#REF!</v>
      </c>
      <c r="C28" s="39"/>
      <c r="D28" s="41">
        <v>7</v>
      </c>
      <c r="E28" s="243" t="e">
        <f t="shared" si="8"/>
        <v>#REF!</v>
      </c>
      <c r="F28" s="42" t="e">
        <f t="shared" si="14"/>
        <v>#REF!</v>
      </c>
      <c r="G28" s="232" t="e">
        <f t="shared" si="9"/>
        <v>#REF!</v>
      </c>
      <c r="H28" s="239" t="e">
        <f t="shared" si="10"/>
        <v>#REF!</v>
      </c>
      <c r="I28" s="234" t="e">
        <f t="shared" si="3"/>
        <v>#REF!</v>
      </c>
      <c r="J28" s="218" t="s">
        <v>45</v>
      </c>
      <c r="K28" s="235" t="e">
        <f t="shared" si="4"/>
        <v>#REF!</v>
      </c>
      <c r="L28" s="240" t="s">
        <v>45</v>
      </c>
      <c r="M28" s="237" t="e">
        <f t="shared" si="5"/>
        <v>#REF!</v>
      </c>
      <c r="N28" s="241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7"/>
        <v>#REF!</v>
      </c>
      <c r="C29" s="39"/>
      <c r="D29" s="41">
        <v>8</v>
      </c>
      <c r="E29" s="243" t="e">
        <f t="shared" si="8"/>
        <v>#REF!</v>
      </c>
      <c r="F29" s="42" t="e">
        <f t="shared" si="14"/>
        <v>#REF!</v>
      </c>
      <c r="G29" s="232" t="e">
        <f t="shared" si="9"/>
        <v>#REF!</v>
      </c>
      <c r="H29" s="239" t="e">
        <f t="shared" si="10"/>
        <v>#REF!</v>
      </c>
      <c r="I29" s="234" t="e">
        <f t="shared" si="3"/>
        <v>#REF!</v>
      </c>
      <c r="J29" s="218" t="s">
        <v>45</v>
      </c>
      <c r="K29" s="235" t="e">
        <f t="shared" si="4"/>
        <v>#REF!</v>
      </c>
      <c r="L29" s="240" t="s">
        <v>45</v>
      </c>
      <c r="M29" s="237" t="e">
        <f t="shared" si="5"/>
        <v>#REF!</v>
      </c>
      <c r="N29" s="241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7"/>
        <v>#REF!</v>
      </c>
      <c r="C30" s="39"/>
      <c r="D30" s="41">
        <v>9</v>
      </c>
      <c r="E30" s="243" t="e">
        <f t="shared" si="8"/>
        <v>#REF!</v>
      </c>
      <c r="F30" s="42" t="e">
        <f t="shared" si="14"/>
        <v>#REF!</v>
      </c>
      <c r="G30" s="232" t="e">
        <f t="shared" si="9"/>
        <v>#REF!</v>
      </c>
      <c r="H30" s="239" t="e">
        <f t="shared" si="10"/>
        <v>#REF!</v>
      </c>
      <c r="I30" s="234" t="e">
        <f t="shared" si="3"/>
        <v>#REF!</v>
      </c>
      <c r="J30" s="218" t="s">
        <v>45</v>
      </c>
      <c r="K30" s="235" t="e">
        <f t="shared" si="4"/>
        <v>#REF!</v>
      </c>
      <c r="L30" s="240" t="s">
        <v>45</v>
      </c>
      <c r="M30" s="237" t="e">
        <f t="shared" si="5"/>
        <v>#REF!</v>
      </c>
      <c r="N30" s="241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7"/>
        <v>#REF!</v>
      </c>
      <c r="C31" s="39"/>
      <c r="D31" s="41">
        <v>10</v>
      </c>
      <c r="E31" s="243" t="e">
        <f t="shared" si="8"/>
        <v>#REF!</v>
      </c>
      <c r="F31" s="42" t="e">
        <f t="shared" si="14"/>
        <v>#REF!</v>
      </c>
      <c r="G31" s="232" t="e">
        <f t="shared" si="9"/>
        <v>#REF!</v>
      </c>
      <c r="H31" s="239" t="e">
        <f t="shared" si="10"/>
        <v>#REF!</v>
      </c>
      <c r="I31" s="234" t="e">
        <f t="shared" si="3"/>
        <v>#REF!</v>
      </c>
      <c r="J31" s="218" t="s">
        <v>45</v>
      </c>
      <c r="K31" s="235" t="e">
        <f t="shared" si="4"/>
        <v>#REF!</v>
      </c>
      <c r="L31" s="240" t="s">
        <v>45</v>
      </c>
      <c r="M31" s="237" t="e">
        <f t="shared" si="5"/>
        <v>#REF!</v>
      </c>
      <c r="N31" s="241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7"/>
        <v>#REF!</v>
      </c>
      <c r="C32" s="39"/>
      <c r="D32" s="41">
        <v>11</v>
      </c>
      <c r="E32" s="243" t="e">
        <f t="shared" si="8"/>
        <v>#REF!</v>
      </c>
      <c r="F32" s="42" t="e">
        <f t="shared" si="14"/>
        <v>#REF!</v>
      </c>
      <c r="G32" s="232" t="e">
        <f t="shared" si="9"/>
        <v>#REF!</v>
      </c>
      <c r="H32" s="239" t="e">
        <f t="shared" si="10"/>
        <v>#REF!</v>
      </c>
      <c r="I32" s="234" t="e">
        <f t="shared" si="3"/>
        <v>#REF!</v>
      </c>
      <c r="J32" s="218" t="s">
        <v>45</v>
      </c>
      <c r="K32" s="235" t="e">
        <f t="shared" si="4"/>
        <v>#REF!</v>
      </c>
      <c r="L32" s="240" t="s">
        <v>45</v>
      </c>
      <c r="M32" s="237" t="e">
        <f t="shared" si="5"/>
        <v>#REF!</v>
      </c>
      <c r="N32" s="241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7"/>
        <v>#REF!</v>
      </c>
      <c r="C33" s="39"/>
      <c r="D33" s="41">
        <v>12</v>
      </c>
      <c r="E33" s="243" t="e">
        <f t="shared" si="8"/>
        <v>#REF!</v>
      </c>
      <c r="F33" s="42" t="e">
        <f t="shared" si="14"/>
        <v>#REF!</v>
      </c>
      <c r="G33" s="232" t="e">
        <f t="shared" si="9"/>
        <v>#REF!</v>
      </c>
      <c r="H33" s="239" t="e">
        <f t="shared" si="10"/>
        <v>#REF!</v>
      </c>
      <c r="I33" s="234" t="e">
        <f t="shared" si="3"/>
        <v>#REF!</v>
      </c>
      <c r="J33" s="218" t="s">
        <v>45</v>
      </c>
      <c r="K33" s="235" t="e">
        <f t="shared" si="4"/>
        <v>#REF!</v>
      </c>
      <c r="L33" s="240" t="s">
        <v>45</v>
      </c>
      <c r="M33" s="237" t="e">
        <f t="shared" si="5"/>
        <v>#REF!</v>
      </c>
      <c r="N33" s="241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7"/>
        <v>#REF!</v>
      </c>
      <c r="C34" s="39"/>
      <c r="D34" s="41">
        <v>13</v>
      </c>
      <c r="E34" s="243" t="e">
        <f t="shared" si="8"/>
        <v>#REF!</v>
      </c>
      <c r="F34" s="42" t="e">
        <f t="shared" si="14"/>
        <v>#REF!</v>
      </c>
      <c r="G34" s="232" t="e">
        <f t="shared" si="9"/>
        <v>#REF!</v>
      </c>
      <c r="H34" s="239" t="e">
        <f t="shared" si="10"/>
        <v>#REF!</v>
      </c>
      <c r="I34" s="234" t="e">
        <f t="shared" si="3"/>
        <v>#REF!</v>
      </c>
      <c r="J34" s="218" t="s">
        <v>45</v>
      </c>
      <c r="K34" s="235" t="e">
        <f t="shared" si="4"/>
        <v>#REF!</v>
      </c>
      <c r="L34" s="240" t="s">
        <v>45</v>
      </c>
      <c r="M34" s="237" t="e">
        <f t="shared" si="5"/>
        <v>#REF!</v>
      </c>
      <c r="N34" s="241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7"/>
        <v>#REF!</v>
      </c>
      <c r="C35" s="39"/>
      <c r="D35" s="41">
        <v>14</v>
      </c>
      <c r="E35" s="243" t="e">
        <f t="shared" si="8"/>
        <v>#REF!</v>
      </c>
      <c r="F35" s="42" t="e">
        <f t="shared" si="14"/>
        <v>#REF!</v>
      </c>
      <c r="G35" s="232" t="e">
        <f t="shared" si="9"/>
        <v>#REF!</v>
      </c>
      <c r="H35" s="239" t="e">
        <f t="shared" si="10"/>
        <v>#REF!</v>
      </c>
      <c r="I35" s="234" t="e">
        <f t="shared" si="3"/>
        <v>#REF!</v>
      </c>
      <c r="J35" s="218" t="s">
        <v>45</v>
      </c>
      <c r="K35" s="235" t="e">
        <f t="shared" si="4"/>
        <v>#REF!</v>
      </c>
      <c r="L35" s="240" t="s">
        <v>45</v>
      </c>
      <c r="M35" s="237" t="e">
        <f t="shared" si="5"/>
        <v>#REF!</v>
      </c>
      <c r="N35" s="241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7"/>
        <v>#REF!</v>
      </c>
      <c r="C36" s="39"/>
      <c r="D36" s="41">
        <v>15</v>
      </c>
      <c r="E36" s="243" t="e">
        <f t="shared" si="8"/>
        <v>#REF!</v>
      </c>
      <c r="F36" s="42" t="e">
        <f t="shared" si="14"/>
        <v>#REF!</v>
      </c>
      <c r="G36" s="232" t="e">
        <f t="shared" si="9"/>
        <v>#REF!</v>
      </c>
      <c r="H36" s="239" t="e">
        <f t="shared" si="10"/>
        <v>#REF!</v>
      </c>
      <c r="I36" s="234" t="e">
        <f t="shared" si="3"/>
        <v>#REF!</v>
      </c>
      <c r="J36" s="218" t="s">
        <v>45</v>
      </c>
      <c r="K36" s="235" t="e">
        <f t="shared" si="4"/>
        <v>#REF!</v>
      </c>
      <c r="L36" s="240" t="s">
        <v>45</v>
      </c>
      <c r="M36" s="237" t="e">
        <f t="shared" si="5"/>
        <v>#REF!</v>
      </c>
      <c r="N36" s="241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7"/>
        <v>#REF!</v>
      </c>
      <c r="C37" s="39"/>
      <c r="D37" s="41">
        <v>16</v>
      </c>
      <c r="E37" s="231" t="e">
        <f t="shared" si="8"/>
        <v>#REF!</v>
      </c>
      <c r="F37" s="42" t="e">
        <f t="shared" si="14"/>
        <v>#REF!</v>
      </c>
      <c r="G37" s="232" t="e">
        <f t="shared" si="9"/>
        <v>#REF!</v>
      </c>
      <c r="H37" s="239" t="e">
        <f t="shared" si="10"/>
        <v>#REF!</v>
      </c>
      <c r="I37" s="234" t="e">
        <f t="shared" si="3"/>
        <v>#REF!</v>
      </c>
      <c r="J37" s="218" t="s">
        <v>45</v>
      </c>
      <c r="K37" s="235" t="e">
        <f t="shared" si="4"/>
        <v>#REF!</v>
      </c>
      <c r="L37" s="240" t="s">
        <v>45</v>
      </c>
      <c r="M37" s="237" t="e">
        <f t="shared" si="5"/>
        <v>#REF!</v>
      </c>
      <c r="N37" s="241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7"/>
        <v>#REF!</v>
      </c>
      <c r="C38" s="39"/>
      <c r="D38" s="41">
        <v>17</v>
      </c>
      <c r="E38" s="243" t="e">
        <f t="shared" si="8"/>
        <v>#REF!</v>
      </c>
      <c r="F38" s="42" t="e">
        <f t="shared" si="14"/>
        <v>#REF!</v>
      </c>
      <c r="G38" s="232" t="e">
        <f t="shared" si="9"/>
        <v>#REF!</v>
      </c>
      <c r="H38" s="239" t="e">
        <f t="shared" si="10"/>
        <v>#REF!</v>
      </c>
      <c r="I38" s="234" t="e">
        <f t="shared" si="3"/>
        <v>#REF!</v>
      </c>
      <c r="J38" s="218" t="s">
        <v>45</v>
      </c>
      <c r="K38" s="235" t="e">
        <f t="shared" si="4"/>
        <v>#REF!</v>
      </c>
      <c r="L38" s="240" t="s">
        <v>45</v>
      </c>
      <c r="M38" s="237" t="e">
        <f t="shared" si="5"/>
        <v>#REF!</v>
      </c>
      <c r="N38" s="241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12" t="e">
        <f>SUM(M22:M38)</f>
        <v>#REF!</v>
      </c>
      <c r="M40" s="376"/>
      <c r="N40" s="310" t="e">
        <f>SUM(O22:O38)</f>
        <v>#REF!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7">HLOOKUP($O$3,#REF!,116+D46,0)</f>
        <v>#REF!</v>
      </c>
      <c r="F46" s="68"/>
      <c r="G46" s="232" t="e">
        <f t="shared" ref="G46:G49" si="18">HLOOKUP($O$3,#REF!,121+D46,0)</f>
        <v>#REF!</v>
      </c>
      <c r="H46" s="239" t="e">
        <f t="shared" ref="H46:H49" si="19">HLOOKUP($O$3,#REF!,126+D46,0)</f>
        <v>#REF!</v>
      </c>
      <c r="I46" s="234" t="e">
        <f t="shared" ref="I46:I49" si="20">G46+H46</f>
        <v>#REF!</v>
      </c>
      <c r="J46" s="218" t="s">
        <v>45</v>
      </c>
      <c r="K46" s="235" t="e">
        <f t="shared" ref="K46:K49" si="21">IF(E46=0,"sin certificar",IF(J46="-","no pago",IF(J46&gt;0,"DEV",0)))</f>
        <v>#REF!</v>
      </c>
      <c r="L46" s="236" t="s">
        <v>45</v>
      </c>
      <c r="M46" s="237" t="e">
        <f t="shared" ref="M46:M49" si="22">IF(G46=0,"sin certificar",IF(L46="-","no pago",IF(L46&gt;0,"DEV",0)))</f>
        <v>#REF!</v>
      </c>
      <c r="N46" s="238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7"/>
        <v>#REF!</v>
      </c>
      <c r="F47" s="69"/>
      <c r="G47" s="232" t="e">
        <f t="shared" si="18"/>
        <v>#REF!</v>
      </c>
      <c r="H47" s="239" t="e">
        <f t="shared" si="19"/>
        <v>#REF!</v>
      </c>
      <c r="I47" s="234" t="e">
        <f t="shared" si="20"/>
        <v>#REF!</v>
      </c>
      <c r="J47" s="218" t="s">
        <v>45</v>
      </c>
      <c r="K47" s="235" t="e">
        <f t="shared" si="21"/>
        <v>#REF!</v>
      </c>
      <c r="L47" s="236" t="s">
        <v>45</v>
      </c>
      <c r="M47" s="237" t="e">
        <f t="shared" si="22"/>
        <v>#REF!</v>
      </c>
      <c r="N47" s="238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7"/>
        <v>#REF!</v>
      </c>
      <c r="F48" s="69"/>
      <c r="G48" s="232" t="e">
        <f t="shared" si="18"/>
        <v>#REF!</v>
      </c>
      <c r="H48" s="239" t="e">
        <f t="shared" si="19"/>
        <v>#REF!</v>
      </c>
      <c r="I48" s="234" t="e">
        <f t="shared" si="20"/>
        <v>#REF!</v>
      </c>
      <c r="J48" s="218" t="s">
        <v>45</v>
      </c>
      <c r="K48" s="235" t="e">
        <f t="shared" si="21"/>
        <v>#REF!</v>
      </c>
      <c r="L48" s="236" t="s">
        <v>45</v>
      </c>
      <c r="M48" s="237" t="e">
        <f t="shared" si="22"/>
        <v>#REF!</v>
      </c>
      <c r="N48" s="238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7"/>
        <v>#REF!</v>
      </c>
      <c r="F49" s="69"/>
      <c r="G49" s="232" t="e">
        <f t="shared" si="18"/>
        <v>#REF!</v>
      </c>
      <c r="H49" s="239" t="e">
        <f t="shared" si="19"/>
        <v>#REF!</v>
      </c>
      <c r="I49" s="234" t="e">
        <f t="shared" si="20"/>
        <v>#REF!</v>
      </c>
      <c r="J49" s="218" t="s">
        <v>45</v>
      </c>
      <c r="K49" s="235" t="e">
        <f t="shared" si="21"/>
        <v>#REF!</v>
      </c>
      <c r="L49" s="236" t="s">
        <v>45</v>
      </c>
      <c r="M49" s="237" t="e">
        <f t="shared" si="22"/>
        <v>#REF!</v>
      </c>
      <c r="N49" s="238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12" t="e">
        <f>SUM(M46:M50)</f>
        <v>#REF!</v>
      </c>
      <c r="M51" s="376"/>
      <c r="N51" s="310" t="e">
        <f>SUM(O46:O50)</f>
        <v>#REF!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5">HLOOKUP($O$3,#REF!,131+D57,0)</f>
        <v>#REF!</v>
      </c>
      <c r="F57" s="69"/>
      <c r="G57" s="232"/>
      <c r="H57" s="239"/>
      <c r="I57" s="234"/>
      <c r="J57" s="218" t="s">
        <v>45</v>
      </c>
      <c r="K57" s="235" t="e">
        <f t="shared" ref="K57:K60" si="26">IF(E57=0,"sin certificar",IF(J57="-","no pago",IF(J57&gt;0,"DEV",0)))</f>
        <v>#REF!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5"/>
        <v>#REF!</v>
      </c>
      <c r="F58" s="69"/>
      <c r="G58" s="232"/>
      <c r="H58" s="239"/>
      <c r="I58" s="234"/>
      <c r="J58" s="218" t="s">
        <v>45</v>
      </c>
      <c r="K58" s="235" t="e">
        <f t="shared" si="26"/>
        <v>#REF!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5"/>
        <v>#REF!</v>
      </c>
      <c r="F59" s="69"/>
      <c r="G59" s="232"/>
      <c r="H59" s="239"/>
      <c r="I59" s="234"/>
      <c r="J59" s="218" t="s">
        <v>45</v>
      </c>
      <c r="K59" s="235" t="e">
        <f t="shared" si="26"/>
        <v>#REF!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5"/>
        <v>#REF!</v>
      </c>
      <c r="F60" s="69"/>
      <c r="G60" s="232"/>
      <c r="H60" s="239"/>
      <c r="I60" s="234"/>
      <c r="J60" s="218" t="s">
        <v>45</v>
      </c>
      <c r="K60" s="235" t="e">
        <f t="shared" si="26"/>
        <v>#REF!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7">HLOOKUP($O$3,#REF!,137+D68,0)</f>
        <v>#REF!</v>
      </c>
      <c r="F68" s="69"/>
      <c r="G68" s="232"/>
      <c r="H68" s="239"/>
      <c r="I68" s="234"/>
      <c r="J68" s="218" t="s">
        <v>45</v>
      </c>
      <c r="K68" s="235" t="e">
        <f t="shared" ref="K68:K71" si="28">IF(E68=0,"sin certificar",IF(J68="-","no pago",IF(J68&gt;0,"DEV",0)))</f>
        <v>#REF!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7"/>
        <v>#REF!</v>
      </c>
      <c r="F69" s="69"/>
      <c r="G69" s="232"/>
      <c r="H69" s="239"/>
      <c r="I69" s="234"/>
      <c r="J69" s="218" t="s">
        <v>45</v>
      </c>
      <c r="K69" s="235" t="e">
        <f t="shared" si="28"/>
        <v>#REF!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7"/>
        <v>#REF!</v>
      </c>
      <c r="F70" s="69"/>
      <c r="G70" s="232"/>
      <c r="H70" s="239"/>
      <c r="I70" s="234"/>
      <c r="J70" s="218" t="s">
        <v>45</v>
      </c>
      <c r="K70" s="235" t="e">
        <f t="shared" si="28"/>
        <v>#REF!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7"/>
        <v>#REF!</v>
      </c>
      <c r="F71" s="69"/>
      <c r="G71" s="232"/>
      <c r="H71" s="239"/>
      <c r="I71" s="234"/>
      <c r="J71" s="218" t="s">
        <v>45</v>
      </c>
      <c r="K71" s="235" t="e">
        <f t="shared" si="28"/>
        <v>#REF!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75" priority="1" operator="lessThan">
      <formula>E20:E28</formula>
    </cfRule>
  </conditionalFormatting>
  <conditionalFormatting sqref="K46:K49 K68:K71">
    <cfRule type="cellIs" dxfId="74" priority="2" operator="lessThan">
      <formula>E46:E49</formula>
    </cfRule>
  </conditionalFormatting>
  <conditionalFormatting sqref="K57:K60">
    <cfRule type="cellIs" dxfId="73" priority="3" operator="lessThan">
      <formula>E57:E60</formula>
    </cfRule>
  </conditionalFormatting>
  <conditionalFormatting sqref="K68:K71">
    <cfRule type="cellIs" dxfId="72" priority="4" operator="lessThan">
      <formula>E68:E71</formula>
    </cfRule>
  </conditionalFormatting>
  <conditionalFormatting sqref="J20:O39 J46:O49 J57:O60 J68:O71">
    <cfRule type="cellIs" dxfId="71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70" priority="6" operator="equal">
      <formula>"DEV"</formula>
    </cfRule>
  </conditionalFormatting>
  <conditionalFormatting sqref="K20:K38 K46:K49 K57:K60 K68:K71 M20:M38 M46:M49 M57:M60 M68:M71 O20:O38 O46:O49 O57:O60 O68:O71">
    <cfRule type="cellIs" dxfId="69" priority="7" operator="equal">
      <formula>"no pago"</formula>
    </cfRule>
  </conditionalFormatting>
  <conditionalFormatting sqref="B1:D1 B2:E2">
    <cfRule type="expression" dxfId="68" priority="8">
      <formula>$E$1="NO"</formula>
    </cfRule>
  </conditionalFormatting>
  <conditionalFormatting sqref="B1:D1 B2:E2">
    <cfRule type="expression" dxfId="67" priority="9">
      <formula>$E$1="SI"</formula>
    </cfRule>
  </conditionalFormatting>
  <conditionalFormatting sqref="F1">
    <cfRule type="expression" dxfId="66" priority="10">
      <formula>$E$1="NO"</formula>
    </cfRule>
  </conditionalFormatting>
  <conditionalFormatting sqref="F1">
    <cfRule type="expression" dxfId="65" priority="11">
      <formula>$E$1="SI"</formula>
    </cfRule>
  </conditionalFormatting>
  <conditionalFormatting sqref="N7:O8">
    <cfRule type="cellIs" dxfId="64" priority="12" operator="equal">
      <formula>"PARALIZADA"</formula>
    </cfRule>
  </conditionalFormatting>
  <conditionalFormatting sqref="N7:O8">
    <cfRule type="cellIs" dxfId="63" priority="13" operator="equal">
      <formula>"EN EJECUCION"</formula>
    </cfRule>
  </conditionalFormatting>
  <conditionalFormatting sqref="N7:O8">
    <cfRule type="cellIs" dxfId="62" priority="14" operator="equal">
      <formula>"TERMINADA"</formula>
    </cfRule>
  </conditionalFormatting>
  <conditionalFormatting sqref="N7:O8">
    <cfRule type="cellIs" dxfId="61" priority="15" operator="equal">
      <formula>"COMPLETADA"</formula>
    </cfRule>
  </conditionalFormatting>
  <hyperlinks>
    <hyperlink ref="O1" location="null!A1" display="&lt; VOLVER" xr:uid="{00000000-0004-0000-1900-000000000000}"/>
    <hyperlink ref="E3" location="RED PIM 2!A1" display="RED DISTRIBUIDORA DE AGUA PIM 2DA ETAPA" xr:uid="{00000000-0004-0000-1900-000001000000}"/>
    <hyperlink ref="Q3" location="null!A1" display="'BASE DATOS'!A1" xr:uid="{00000000-0004-0000-19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123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50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18012752.91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3" t="e">
        <f t="shared" ref="E22:E38" si="5">HLOOKUP($O$3,#REF!,42+D22,0)</f>
        <v>#REF!</v>
      </c>
      <c r="F22" s="42" t="e">
        <f>IF(E22=0,0,$G$7)</f>
        <v>#REF!</v>
      </c>
      <c r="G22" s="232" t="e">
        <f t="shared" ref="G22:G38" si="6">HLOOKUP($O$3,#REF!,63+D22,0)</f>
        <v>#REF!</v>
      </c>
      <c r="H22" s="233" t="e">
        <f t="shared" ref="H22:H38" si="7">HLOOKUP($O$3,#REF!,84+D22,0)</f>
        <v>#REF!</v>
      </c>
      <c r="I22" s="234" t="e">
        <f t="shared" si="3"/>
        <v>#REF!</v>
      </c>
      <c r="J22" s="218">
        <v>44414</v>
      </c>
      <c r="K22" s="235">
        <v>4407103.13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39"/>
      <c r="D23" s="41">
        <v>2</v>
      </c>
      <c r="E23" s="243" t="e">
        <f t="shared" si="5"/>
        <v>#REF!</v>
      </c>
      <c r="F23" s="42" t="e">
        <f t="shared" ref="F23:F38" si="11">EOMONTH(F22,1)</f>
        <v>#REF!</v>
      </c>
      <c r="G23" s="232" t="e">
        <f t="shared" si="6"/>
        <v>#REF!</v>
      </c>
      <c r="H23" s="233" t="e">
        <f t="shared" si="7"/>
        <v>#REF!</v>
      </c>
      <c r="I23" s="234" t="e">
        <f t="shared" si="3"/>
        <v>#REF!</v>
      </c>
      <c r="J23" s="218">
        <v>44442</v>
      </c>
      <c r="K23" s="235">
        <v>4386604.9800000004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39"/>
      <c r="D24" s="41">
        <v>3</v>
      </c>
      <c r="E24" s="243" t="e">
        <f t="shared" si="5"/>
        <v>#REF!</v>
      </c>
      <c r="F24" s="42" t="e">
        <f t="shared" si="11"/>
        <v>#REF!</v>
      </c>
      <c r="G24" s="232" t="e">
        <f t="shared" si="6"/>
        <v>#REF!</v>
      </c>
      <c r="H24" s="233" t="e">
        <f t="shared" si="7"/>
        <v>#REF!</v>
      </c>
      <c r="I24" s="234" t="e">
        <f t="shared" si="3"/>
        <v>#REF!</v>
      </c>
      <c r="J24" s="218">
        <v>44476</v>
      </c>
      <c r="K24" s="235">
        <v>4317936.16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39"/>
      <c r="D25" s="41">
        <v>4</v>
      </c>
      <c r="E25" s="243" t="e">
        <f t="shared" si="5"/>
        <v>#REF!</v>
      </c>
      <c r="F25" s="42" t="e">
        <f t="shared" si="11"/>
        <v>#REF!</v>
      </c>
      <c r="G25" s="232" t="e">
        <f t="shared" si="6"/>
        <v>#REF!</v>
      </c>
      <c r="H25" s="233" t="e">
        <f t="shared" si="7"/>
        <v>#REF!</v>
      </c>
      <c r="I25" s="234" t="e">
        <f t="shared" si="3"/>
        <v>#REF!</v>
      </c>
      <c r="J25" s="218">
        <v>44503</v>
      </c>
      <c r="K25" s="235">
        <v>4901108.6399999997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39"/>
      <c r="D26" s="41">
        <v>5</v>
      </c>
      <c r="E26" s="243" t="e">
        <f t="shared" si="5"/>
        <v>#REF!</v>
      </c>
      <c r="F26" s="42" t="e">
        <f t="shared" si="11"/>
        <v>#REF!</v>
      </c>
      <c r="G26" s="232" t="e">
        <f t="shared" si="6"/>
        <v>#REF!</v>
      </c>
      <c r="H26" s="233" t="e">
        <f t="shared" si="7"/>
        <v>#REF!</v>
      </c>
      <c r="I26" s="234" t="e">
        <f t="shared" si="3"/>
        <v>#REF!</v>
      </c>
      <c r="J26" s="218" t="s">
        <v>45</v>
      </c>
      <c r="K26" s="235" t="s">
        <v>124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39"/>
      <c r="D27" s="41">
        <v>6</v>
      </c>
      <c r="E27" s="243" t="e">
        <f t="shared" si="5"/>
        <v>#REF!</v>
      </c>
      <c r="F27" s="42" t="e">
        <f t="shared" si="11"/>
        <v>#REF!</v>
      </c>
      <c r="G27" s="232" t="e">
        <f t="shared" si="6"/>
        <v>#REF!</v>
      </c>
      <c r="H27" s="239" t="e">
        <f t="shared" si="7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39"/>
      <c r="D28" s="41">
        <v>7</v>
      </c>
      <c r="E28" s="243" t="e">
        <f t="shared" si="5"/>
        <v>#REF!</v>
      </c>
      <c r="F28" s="42" t="e">
        <f t="shared" si="11"/>
        <v>#REF!</v>
      </c>
      <c r="G28" s="232" t="e">
        <f t="shared" si="6"/>
        <v>#REF!</v>
      </c>
      <c r="H28" s="239" t="e">
        <f t="shared" si="7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39"/>
      <c r="D29" s="41">
        <v>8</v>
      </c>
      <c r="E29" s="243" t="e">
        <f t="shared" si="5"/>
        <v>#REF!</v>
      </c>
      <c r="F29" s="42" t="e">
        <f t="shared" si="11"/>
        <v>#REF!</v>
      </c>
      <c r="G29" s="232" t="e">
        <f t="shared" si="6"/>
        <v>#REF!</v>
      </c>
      <c r="H29" s="239" t="e">
        <f t="shared" si="7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39"/>
      <c r="D30" s="41">
        <v>9</v>
      </c>
      <c r="E30" s="243" t="e">
        <f t="shared" si="5"/>
        <v>#REF!</v>
      </c>
      <c r="F30" s="42" t="e">
        <f t="shared" si="11"/>
        <v>#REF!</v>
      </c>
      <c r="G30" s="232" t="e">
        <f t="shared" si="6"/>
        <v>#REF!</v>
      </c>
      <c r="H30" s="239" t="e">
        <f t="shared" si="7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39"/>
      <c r="D31" s="41">
        <v>10</v>
      </c>
      <c r="E31" s="243" t="e">
        <f t="shared" si="5"/>
        <v>#REF!</v>
      </c>
      <c r="F31" s="42" t="e">
        <f t="shared" si="11"/>
        <v>#REF!</v>
      </c>
      <c r="G31" s="232" t="e">
        <f t="shared" si="6"/>
        <v>#REF!</v>
      </c>
      <c r="H31" s="239" t="e">
        <f t="shared" si="7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39"/>
      <c r="D32" s="41">
        <v>11</v>
      </c>
      <c r="E32" s="243" t="e">
        <f t="shared" si="5"/>
        <v>#REF!</v>
      </c>
      <c r="F32" s="42" t="e">
        <f t="shared" si="11"/>
        <v>#REF!</v>
      </c>
      <c r="G32" s="232" t="e">
        <f t="shared" si="6"/>
        <v>#REF!</v>
      </c>
      <c r="H32" s="239" t="e">
        <f t="shared" si="7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39"/>
      <c r="D33" s="41">
        <v>12</v>
      </c>
      <c r="E33" s="243" t="e">
        <f t="shared" si="5"/>
        <v>#REF!</v>
      </c>
      <c r="F33" s="42" t="e">
        <f t="shared" si="11"/>
        <v>#REF!</v>
      </c>
      <c r="G33" s="232" t="e">
        <f t="shared" si="6"/>
        <v>#REF!</v>
      </c>
      <c r="H33" s="239" t="e">
        <f t="shared" si="7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39"/>
      <c r="D34" s="41">
        <v>13</v>
      </c>
      <c r="E34" s="243" t="e">
        <f t="shared" si="5"/>
        <v>#REF!</v>
      </c>
      <c r="F34" s="42" t="e">
        <f t="shared" si="11"/>
        <v>#REF!</v>
      </c>
      <c r="G34" s="232" t="e">
        <f t="shared" si="6"/>
        <v>#REF!</v>
      </c>
      <c r="H34" s="239" t="e">
        <f t="shared" si="7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39"/>
      <c r="D35" s="41">
        <v>14</v>
      </c>
      <c r="E35" s="243" t="e">
        <f t="shared" si="5"/>
        <v>#REF!</v>
      </c>
      <c r="F35" s="42" t="e">
        <f t="shared" si="11"/>
        <v>#REF!</v>
      </c>
      <c r="G35" s="232" t="e">
        <f t="shared" si="6"/>
        <v>#REF!</v>
      </c>
      <c r="H35" s="239" t="e">
        <f t="shared" si="7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39"/>
      <c r="D36" s="41">
        <v>15</v>
      </c>
      <c r="E36" s="243" t="e">
        <f t="shared" si="5"/>
        <v>#REF!</v>
      </c>
      <c r="F36" s="42" t="e">
        <f t="shared" si="11"/>
        <v>#REF!</v>
      </c>
      <c r="G36" s="232" t="e">
        <f t="shared" si="6"/>
        <v>#REF!</v>
      </c>
      <c r="H36" s="239" t="e">
        <f t="shared" si="7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39"/>
      <c r="D37" s="41">
        <v>16</v>
      </c>
      <c r="E37" s="231" t="e">
        <f t="shared" si="5"/>
        <v>#REF!</v>
      </c>
      <c r="F37" s="42" t="e">
        <f t="shared" si="11"/>
        <v>#REF!</v>
      </c>
      <c r="G37" s="232" t="e">
        <f t="shared" si="6"/>
        <v>#REF!</v>
      </c>
      <c r="H37" s="239" t="e">
        <f t="shared" si="7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39"/>
      <c r="D38" s="41">
        <v>17</v>
      </c>
      <c r="E38" s="243" t="e">
        <f t="shared" si="5"/>
        <v>#REF!</v>
      </c>
      <c r="F38" s="42" t="e">
        <f t="shared" si="11"/>
        <v>#REF!</v>
      </c>
      <c r="G38" s="232" t="e">
        <f t="shared" si="6"/>
        <v>#REF!</v>
      </c>
      <c r="H38" s="239" t="e">
        <f t="shared" si="7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18012752.91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4">HLOOKUP($O$3,#REF!,116+D46,0)</f>
        <v>#REF!</v>
      </c>
      <c r="F46" s="68"/>
      <c r="G46" s="232" t="e">
        <f t="shared" ref="G46:G49" si="15">HLOOKUP($O$3,#REF!,121+D46,0)</f>
        <v>#REF!</v>
      </c>
      <c r="H46" s="239" t="e">
        <f t="shared" ref="H46:H49" si="16">HLOOKUP($O$3,#REF!,126+D46,0)</f>
        <v>#REF!</v>
      </c>
      <c r="I46" s="234" t="e">
        <f t="shared" ref="I46:I49" si="17">G46+H46</f>
        <v>#REF!</v>
      </c>
      <c r="J46" s="218" t="s">
        <v>45</v>
      </c>
      <c r="K46" s="235" t="s">
        <v>46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4"/>
        <v>#REF!</v>
      </c>
      <c r="F47" s="69"/>
      <c r="G47" s="232" t="e">
        <f t="shared" si="15"/>
        <v>#REF!</v>
      </c>
      <c r="H47" s="239" t="e">
        <f t="shared" si="16"/>
        <v>#REF!</v>
      </c>
      <c r="I47" s="234" t="e">
        <f t="shared" si="17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4"/>
        <v>#REF!</v>
      </c>
      <c r="F48" s="69"/>
      <c r="G48" s="232" t="e">
        <f t="shared" si="15"/>
        <v>#REF!</v>
      </c>
      <c r="H48" s="239" t="e">
        <f t="shared" si="16"/>
        <v>#REF!</v>
      </c>
      <c r="I48" s="234" t="e">
        <f t="shared" si="17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4"/>
        <v>#REF!</v>
      </c>
      <c r="F49" s="69"/>
      <c r="G49" s="232" t="e">
        <f t="shared" si="15"/>
        <v>#REF!</v>
      </c>
      <c r="H49" s="239" t="e">
        <f t="shared" si="16"/>
        <v>#REF!</v>
      </c>
      <c r="I49" s="234" t="e">
        <f t="shared" si="17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19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19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19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19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0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0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0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0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60" priority="1" operator="lessThan">
      <formula>E20:E28</formula>
    </cfRule>
  </conditionalFormatting>
  <conditionalFormatting sqref="K46:K49">
    <cfRule type="cellIs" dxfId="59" priority="2" operator="lessThan">
      <formula>E46:E49</formula>
    </cfRule>
  </conditionalFormatting>
  <conditionalFormatting sqref="K57:K60">
    <cfRule type="cellIs" dxfId="58" priority="3" operator="lessThan">
      <formula>E57:E60</formula>
    </cfRule>
  </conditionalFormatting>
  <conditionalFormatting sqref="K68:K71">
    <cfRule type="cellIs" dxfId="57" priority="4" operator="lessThan">
      <formula>E68:E71</formula>
    </cfRule>
  </conditionalFormatting>
  <conditionalFormatting sqref="J20:O39 J46:O49 J57:O60 J68:O71">
    <cfRule type="cellIs" dxfId="56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55" priority="6" operator="equal">
      <formula>"DEV"</formula>
    </cfRule>
  </conditionalFormatting>
  <conditionalFormatting sqref="K20:K38 K46:K49 K57:K60 K68:K71 M20:M38 M46:M49 M57:M60 M68:M71 O20:O38 O46:O49 O57:O60 O68:O71">
    <cfRule type="cellIs" dxfId="54" priority="7" operator="equal">
      <formula>"no pago"</formula>
    </cfRule>
  </conditionalFormatting>
  <conditionalFormatting sqref="B1:D1 B2:E2">
    <cfRule type="expression" dxfId="53" priority="8">
      <formula>$E$1="NO"</formula>
    </cfRule>
  </conditionalFormatting>
  <conditionalFormatting sqref="B1:D1 B2:E2">
    <cfRule type="expression" dxfId="52" priority="9">
      <formula>$E$1="SI"</formula>
    </cfRule>
  </conditionalFormatting>
  <conditionalFormatting sqref="F1">
    <cfRule type="expression" dxfId="51" priority="10">
      <formula>$E$1="NO"</formula>
    </cfRule>
  </conditionalFormatting>
  <conditionalFormatting sqref="F1">
    <cfRule type="expression" dxfId="50" priority="11">
      <formula>$E$1="SI"</formula>
    </cfRule>
  </conditionalFormatting>
  <conditionalFormatting sqref="N7:O8">
    <cfRule type="cellIs" dxfId="49" priority="12" operator="equal">
      <formula>"PARALIZADA"</formula>
    </cfRule>
  </conditionalFormatting>
  <conditionalFormatting sqref="N7:O8">
    <cfRule type="cellIs" dxfId="48" priority="13" operator="equal">
      <formula>"EN EJECUCION"</formula>
    </cfRule>
  </conditionalFormatting>
  <conditionalFormatting sqref="N7:O8">
    <cfRule type="cellIs" dxfId="47" priority="14" operator="equal">
      <formula>"TERMINADA"</formula>
    </cfRule>
  </conditionalFormatting>
  <conditionalFormatting sqref="N7:O8">
    <cfRule type="cellIs" dxfId="46" priority="15" operator="equal">
      <formula>"COMPLETADA"</formula>
    </cfRule>
  </conditionalFormatting>
  <hyperlinks>
    <hyperlink ref="O1" location="null!A1" display="&lt; VOLVER" xr:uid="{00000000-0004-0000-1A00-000000000000}"/>
    <hyperlink ref="E3" location="ILUM Pº RIB 1° et!A1" display="ILUMINACION PARQUE RIBERA 1° Etapa" xr:uid="{00000000-0004-0000-1A00-000001000000}"/>
    <hyperlink ref="Q3" location="null!A1" display="'BASE DATOS'!A1" xr:uid="{00000000-0004-0000-1A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53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 t="e">
        <f>K40</f>
        <v>#REF!</v>
      </c>
      <c r="H13" s="22" t="e">
        <f>K51</f>
        <v>#REF!</v>
      </c>
      <c r="I13" s="203" t="e">
        <f>L40+N40+L51+N51</f>
        <v>#REF!</v>
      </c>
      <c r="J13" s="340" t="e">
        <f>K62</f>
        <v>#REF!</v>
      </c>
      <c r="K13" s="373"/>
      <c r="L13" s="335" t="e">
        <f>K73</f>
        <v>#REF!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e">
        <f t="shared" ref="K20:K38" si="4">IF(E20=0,"sin certificar",IF(J20="-","no pago",IF(J20&gt;0,"DEV",0)))</f>
        <v>#REF!</v>
      </c>
      <c r="L20" s="220" t="s">
        <v>45</v>
      </c>
      <c r="M20" s="221" t="str">
        <f t="shared" ref="M20:M38" si="5">IF(G20=0,"sin certificar",IF(L20="-","no pago",IF(L20&gt;0,"DEV",0)))</f>
        <v>sin certificar</v>
      </c>
      <c r="N20" s="222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e">
        <f t="shared" si="4"/>
        <v>#REF!</v>
      </c>
      <c r="L21" s="228" t="s">
        <v>45</v>
      </c>
      <c r="M21" s="229" t="e">
        <f t="shared" si="5"/>
        <v>#REF!</v>
      </c>
      <c r="N21" s="230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3" t="e">
        <f t="shared" ref="E22:E38" si="8">HLOOKUP($O$3,#REF!,42+D22,0)</f>
        <v>#REF!</v>
      </c>
      <c r="F22" s="42" t="e">
        <f>IF(E22=0,0,$G$7)</f>
        <v>#REF!</v>
      </c>
      <c r="G22" s="232" t="e">
        <f t="shared" ref="G22:G38" si="9">HLOOKUP($O$3,#REF!,63+D22,0)</f>
        <v>#REF!</v>
      </c>
      <c r="H22" s="233" t="e">
        <f t="shared" ref="H22:H38" si="10">HLOOKUP($O$3,#REF!,84+D22,0)</f>
        <v>#REF!</v>
      </c>
      <c r="I22" s="234" t="e">
        <f t="shared" si="3"/>
        <v>#REF!</v>
      </c>
      <c r="J22" s="218" t="s">
        <v>45</v>
      </c>
      <c r="K22" s="235" t="e">
        <f t="shared" si="4"/>
        <v>#REF!</v>
      </c>
      <c r="L22" s="240" t="s">
        <v>45</v>
      </c>
      <c r="M22" s="237" t="e">
        <f t="shared" si="5"/>
        <v>#REF!</v>
      </c>
      <c r="N22" s="241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7"/>
        <v>#REF!</v>
      </c>
      <c r="C23" s="39"/>
      <c r="D23" s="41">
        <v>2</v>
      </c>
      <c r="E23" s="243" t="e">
        <f t="shared" si="8"/>
        <v>#REF!</v>
      </c>
      <c r="F23" s="42" t="e">
        <f t="shared" ref="F23:F38" si="14">EOMONTH(F22,1)</f>
        <v>#REF!</v>
      </c>
      <c r="G23" s="232" t="e">
        <f t="shared" si="9"/>
        <v>#REF!</v>
      </c>
      <c r="H23" s="233" t="e">
        <f t="shared" si="10"/>
        <v>#REF!</v>
      </c>
      <c r="I23" s="234" t="e">
        <f t="shared" si="3"/>
        <v>#REF!</v>
      </c>
      <c r="J23" s="218" t="s">
        <v>45</v>
      </c>
      <c r="K23" s="235" t="e">
        <f t="shared" si="4"/>
        <v>#REF!</v>
      </c>
      <c r="L23" s="240" t="s">
        <v>45</v>
      </c>
      <c r="M23" s="237" t="e">
        <f t="shared" si="5"/>
        <v>#REF!</v>
      </c>
      <c r="N23" s="241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7"/>
        <v>#REF!</v>
      </c>
      <c r="C24" s="39"/>
      <c r="D24" s="41">
        <v>3</v>
      </c>
      <c r="E24" s="243" t="e">
        <f t="shared" si="8"/>
        <v>#REF!</v>
      </c>
      <c r="F24" s="42" t="e">
        <f t="shared" si="14"/>
        <v>#REF!</v>
      </c>
      <c r="G24" s="232" t="e">
        <f t="shared" si="9"/>
        <v>#REF!</v>
      </c>
      <c r="H24" s="233" t="e">
        <f t="shared" si="10"/>
        <v>#REF!</v>
      </c>
      <c r="I24" s="234" t="e">
        <f t="shared" si="3"/>
        <v>#REF!</v>
      </c>
      <c r="J24" s="218" t="s">
        <v>45</v>
      </c>
      <c r="K24" s="235" t="e">
        <f t="shared" si="4"/>
        <v>#REF!</v>
      </c>
      <c r="L24" s="240" t="s">
        <v>45</v>
      </c>
      <c r="M24" s="237" t="e">
        <f t="shared" si="5"/>
        <v>#REF!</v>
      </c>
      <c r="N24" s="241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7"/>
        <v>#REF!</v>
      </c>
      <c r="C25" s="39"/>
      <c r="D25" s="41">
        <v>4</v>
      </c>
      <c r="E25" s="243" t="e">
        <f t="shared" si="8"/>
        <v>#REF!</v>
      </c>
      <c r="F25" s="42" t="e">
        <f t="shared" si="14"/>
        <v>#REF!</v>
      </c>
      <c r="G25" s="232" t="e">
        <f t="shared" si="9"/>
        <v>#REF!</v>
      </c>
      <c r="H25" s="233" t="e">
        <f t="shared" si="10"/>
        <v>#REF!</v>
      </c>
      <c r="I25" s="234" t="e">
        <f t="shared" si="3"/>
        <v>#REF!</v>
      </c>
      <c r="J25" s="218" t="s">
        <v>45</v>
      </c>
      <c r="K25" s="235" t="e">
        <f t="shared" si="4"/>
        <v>#REF!</v>
      </c>
      <c r="L25" s="240" t="s">
        <v>45</v>
      </c>
      <c r="M25" s="237" t="e">
        <f t="shared" si="5"/>
        <v>#REF!</v>
      </c>
      <c r="N25" s="241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7"/>
        <v>#REF!</v>
      </c>
      <c r="C26" s="39"/>
      <c r="D26" s="41">
        <v>5</v>
      </c>
      <c r="E26" s="243" t="e">
        <f t="shared" si="8"/>
        <v>#REF!</v>
      </c>
      <c r="F26" s="42" t="e">
        <f t="shared" si="14"/>
        <v>#REF!</v>
      </c>
      <c r="G26" s="232" t="e">
        <f t="shared" si="9"/>
        <v>#REF!</v>
      </c>
      <c r="H26" s="233" t="e">
        <f t="shared" si="10"/>
        <v>#REF!</v>
      </c>
      <c r="I26" s="234" t="e">
        <f t="shared" si="3"/>
        <v>#REF!</v>
      </c>
      <c r="J26" s="218" t="s">
        <v>45</v>
      </c>
      <c r="K26" s="235" t="e">
        <f t="shared" si="4"/>
        <v>#REF!</v>
      </c>
      <c r="L26" s="240" t="s">
        <v>45</v>
      </c>
      <c r="M26" s="237" t="e">
        <f t="shared" si="5"/>
        <v>#REF!</v>
      </c>
      <c r="N26" s="241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7"/>
        <v>#REF!</v>
      </c>
      <c r="C27" s="39"/>
      <c r="D27" s="41">
        <v>6</v>
      </c>
      <c r="E27" s="243" t="e">
        <f t="shared" si="8"/>
        <v>#REF!</v>
      </c>
      <c r="F27" s="42" t="e">
        <f t="shared" si="14"/>
        <v>#REF!</v>
      </c>
      <c r="G27" s="232" t="e">
        <f t="shared" si="9"/>
        <v>#REF!</v>
      </c>
      <c r="H27" s="239" t="e">
        <f t="shared" si="10"/>
        <v>#REF!</v>
      </c>
      <c r="I27" s="234" t="e">
        <f t="shared" si="3"/>
        <v>#REF!</v>
      </c>
      <c r="J27" s="218" t="s">
        <v>45</v>
      </c>
      <c r="K27" s="235" t="e">
        <f t="shared" si="4"/>
        <v>#REF!</v>
      </c>
      <c r="L27" s="240" t="s">
        <v>45</v>
      </c>
      <c r="M27" s="237" t="e">
        <f t="shared" si="5"/>
        <v>#REF!</v>
      </c>
      <c r="N27" s="241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7"/>
        <v>#REF!</v>
      </c>
      <c r="C28" s="39"/>
      <c r="D28" s="41">
        <v>7</v>
      </c>
      <c r="E28" s="243" t="e">
        <f t="shared" si="8"/>
        <v>#REF!</v>
      </c>
      <c r="F28" s="42" t="e">
        <f t="shared" si="14"/>
        <v>#REF!</v>
      </c>
      <c r="G28" s="232" t="e">
        <f t="shared" si="9"/>
        <v>#REF!</v>
      </c>
      <c r="H28" s="239" t="e">
        <f t="shared" si="10"/>
        <v>#REF!</v>
      </c>
      <c r="I28" s="234" t="e">
        <f t="shared" si="3"/>
        <v>#REF!</v>
      </c>
      <c r="J28" s="218" t="s">
        <v>45</v>
      </c>
      <c r="K28" s="235" t="e">
        <f t="shared" si="4"/>
        <v>#REF!</v>
      </c>
      <c r="L28" s="240" t="s">
        <v>45</v>
      </c>
      <c r="M28" s="237" t="e">
        <f t="shared" si="5"/>
        <v>#REF!</v>
      </c>
      <c r="N28" s="241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7"/>
        <v>#REF!</v>
      </c>
      <c r="C29" s="39"/>
      <c r="D29" s="41">
        <v>8</v>
      </c>
      <c r="E29" s="243" t="e">
        <f t="shared" si="8"/>
        <v>#REF!</v>
      </c>
      <c r="F29" s="42" t="e">
        <f t="shared" si="14"/>
        <v>#REF!</v>
      </c>
      <c r="G29" s="232" t="e">
        <f t="shared" si="9"/>
        <v>#REF!</v>
      </c>
      <c r="H29" s="239" t="e">
        <f t="shared" si="10"/>
        <v>#REF!</v>
      </c>
      <c r="I29" s="234" t="e">
        <f t="shared" si="3"/>
        <v>#REF!</v>
      </c>
      <c r="J29" s="218" t="s">
        <v>45</v>
      </c>
      <c r="K29" s="235" t="e">
        <f t="shared" si="4"/>
        <v>#REF!</v>
      </c>
      <c r="L29" s="240" t="s">
        <v>45</v>
      </c>
      <c r="M29" s="237" t="e">
        <f t="shared" si="5"/>
        <v>#REF!</v>
      </c>
      <c r="N29" s="241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7"/>
        <v>#REF!</v>
      </c>
      <c r="C30" s="39"/>
      <c r="D30" s="41">
        <v>9</v>
      </c>
      <c r="E30" s="243" t="e">
        <f t="shared" si="8"/>
        <v>#REF!</v>
      </c>
      <c r="F30" s="42" t="e">
        <f t="shared" si="14"/>
        <v>#REF!</v>
      </c>
      <c r="G30" s="232" t="e">
        <f t="shared" si="9"/>
        <v>#REF!</v>
      </c>
      <c r="H30" s="239" t="e">
        <f t="shared" si="10"/>
        <v>#REF!</v>
      </c>
      <c r="I30" s="234" t="e">
        <f t="shared" si="3"/>
        <v>#REF!</v>
      </c>
      <c r="J30" s="218" t="s">
        <v>45</v>
      </c>
      <c r="K30" s="235" t="e">
        <f t="shared" si="4"/>
        <v>#REF!</v>
      </c>
      <c r="L30" s="240" t="s">
        <v>45</v>
      </c>
      <c r="M30" s="237" t="e">
        <f t="shared" si="5"/>
        <v>#REF!</v>
      </c>
      <c r="N30" s="241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7"/>
        <v>#REF!</v>
      </c>
      <c r="C31" s="39"/>
      <c r="D31" s="41">
        <v>10</v>
      </c>
      <c r="E31" s="243" t="e">
        <f t="shared" si="8"/>
        <v>#REF!</v>
      </c>
      <c r="F31" s="42" t="e">
        <f t="shared" si="14"/>
        <v>#REF!</v>
      </c>
      <c r="G31" s="232" t="e">
        <f t="shared" si="9"/>
        <v>#REF!</v>
      </c>
      <c r="H31" s="239" t="e">
        <f t="shared" si="10"/>
        <v>#REF!</v>
      </c>
      <c r="I31" s="234" t="e">
        <f t="shared" si="3"/>
        <v>#REF!</v>
      </c>
      <c r="J31" s="218" t="s">
        <v>45</v>
      </c>
      <c r="K31" s="235" t="e">
        <f t="shared" si="4"/>
        <v>#REF!</v>
      </c>
      <c r="L31" s="240" t="s">
        <v>45</v>
      </c>
      <c r="M31" s="237" t="e">
        <f t="shared" si="5"/>
        <v>#REF!</v>
      </c>
      <c r="N31" s="241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7"/>
        <v>#REF!</v>
      </c>
      <c r="C32" s="39"/>
      <c r="D32" s="41">
        <v>11</v>
      </c>
      <c r="E32" s="243" t="e">
        <f t="shared" si="8"/>
        <v>#REF!</v>
      </c>
      <c r="F32" s="42" t="e">
        <f t="shared" si="14"/>
        <v>#REF!</v>
      </c>
      <c r="G32" s="232" t="e">
        <f t="shared" si="9"/>
        <v>#REF!</v>
      </c>
      <c r="H32" s="239" t="e">
        <f t="shared" si="10"/>
        <v>#REF!</v>
      </c>
      <c r="I32" s="234" t="e">
        <f t="shared" si="3"/>
        <v>#REF!</v>
      </c>
      <c r="J32" s="218" t="s">
        <v>45</v>
      </c>
      <c r="K32" s="235" t="e">
        <f t="shared" si="4"/>
        <v>#REF!</v>
      </c>
      <c r="L32" s="240" t="s">
        <v>45</v>
      </c>
      <c r="M32" s="237" t="e">
        <f t="shared" si="5"/>
        <v>#REF!</v>
      </c>
      <c r="N32" s="241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7"/>
        <v>#REF!</v>
      </c>
      <c r="C33" s="39"/>
      <c r="D33" s="41">
        <v>12</v>
      </c>
      <c r="E33" s="243" t="e">
        <f t="shared" si="8"/>
        <v>#REF!</v>
      </c>
      <c r="F33" s="42" t="e">
        <f t="shared" si="14"/>
        <v>#REF!</v>
      </c>
      <c r="G33" s="232" t="e">
        <f t="shared" si="9"/>
        <v>#REF!</v>
      </c>
      <c r="H33" s="239" t="e">
        <f t="shared" si="10"/>
        <v>#REF!</v>
      </c>
      <c r="I33" s="234" t="e">
        <f t="shared" si="3"/>
        <v>#REF!</v>
      </c>
      <c r="J33" s="218" t="s">
        <v>45</v>
      </c>
      <c r="K33" s="235" t="e">
        <f t="shared" si="4"/>
        <v>#REF!</v>
      </c>
      <c r="L33" s="240" t="s">
        <v>45</v>
      </c>
      <c r="M33" s="237" t="e">
        <f t="shared" si="5"/>
        <v>#REF!</v>
      </c>
      <c r="N33" s="241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7"/>
        <v>#REF!</v>
      </c>
      <c r="C34" s="39"/>
      <c r="D34" s="41">
        <v>13</v>
      </c>
      <c r="E34" s="243" t="e">
        <f t="shared" si="8"/>
        <v>#REF!</v>
      </c>
      <c r="F34" s="42" t="e">
        <f t="shared" si="14"/>
        <v>#REF!</v>
      </c>
      <c r="G34" s="232" t="e">
        <f t="shared" si="9"/>
        <v>#REF!</v>
      </c>
      <c r="H34" s="239" t="e">
        <f t="shared" si="10"/>
        <v>#REF!</v>
      </c>
      <c r="I34" s="234" t="e">
        <f t="shared" si="3"/>
        <v>#REF!</v>
      </c>
      <c r="J34" s="218" t="s">
        <v>45</v>
      </c>
      <c r="K34" s="235" t="e">
        <f t="shared" si="4"/>
        <v>#REF!</v>
      </c>
      <c r="L34" s="240" t="s">
        <v>45</v>
      </c>
      <c r="M34" s="237" t="e">
        <f t="shared" si="5"/>
        <v>#REF!</v>
      </c>
      <c r="N34" s="241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7"/>
        <v>#REF!</v>
      </c>
      <c r="C35" s="39"/>
      <c r="D35" s="41">
        <v>14</v>
      </c>
      <c r="E35" s="243" t="e">
        <f t="shared" si="8"/>
        <v>#REF!</v>
      </c>
      <c r="F35" s="42" t="e">
        <f t="shared" si="14"/>
        <v>#REF!</v>
      </c>
      <c r="G35" s="232" t="e">
        <f t="shared" si="9"/>
        <v>#REF!</v>
      </c>
      <c r="H35" s="239" t="e">
        <f t="shared" si="10"/>
        <v>#REF!</v>
      </c>
      <c r="I35" s="234" t="e">
        <f t="shared" si="3"/>
        <v>#REF!</v>
      </c>
      <c r="J35" s="218" t="s">
        <v>45</v>
      </c>
      <c r="K35" s="235" t="e">
        <f t="shared" si="4"/>
        <v>#REF!</v>
      </c>
      <c r="L35" s="240" t="s">
        <v>45</v>
      </c>
      <c r="M35" s="237" t="e">
        <f t="shared" si="5"/>
        <v>#REF!</v>
      </c>
      <c r="N35" s="241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7"/>
        <v>#REF!</v>
      </c>
      <c r="C36" s="39"/>
      <c r="D36" s="41">
        <v>15</v>
      </c>
      <c r="E36" s="243" t="e">
        <f t="shared" si="8"/>
        <v>#REF!</v>
      </c>
      <c r="F36" s="42" t="e">
        <f t="shared" si="14"/>
        <v>#REF!</v>
      </c>
      <c r="G36" s="232" t="e">
        <f t="shared" si="9"/>
        <v>#REF!</v>
      </c>
      <c r="H36" s="239" t="e">
        <f t="shared" si="10"/>
        <v>#REF!</v>
      </c>
      <c r="I36" s="234" t="e">
        <f t="shared" si="3"/>
        <v>#REF!</v>
      </c>
      <c r="J36" s="218" t="s">
        <v>45</v>
      </c>
      <c r="K36" s="235" t="e">
        <f t="shared" si="4"/>
        <v>#REF!</v>
      </c>
      <c r="L36" s="240" t="s">
        <v>45</v>
      </c>
      <c r="M36" s="237" t="e">
        <f t="shared" si="5"/>
        <v>#REF!</v>
      </c>
      <c r="N36" s="241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7"/>
        <v>#REF!</v>
      </c>
      <c r="C37" s="39"/>
      <c r="D37" s="41">
        <v>16</v>
      </c>
      <c r="E37" s="231" t="e">
        <f t="shared" si="8"/>
        <v>#REF!</v>
      </c>
      <c r="F37" s="42" t="e">
        <f t="shared" si="14"/>
        <v>#REF!</v>
      </c>
      <c r="G37" s="232" t="e">
        <f t="shared" si="9"/>
        <v>#REF!</v>
      </c>
      <c r="H37" s="239" t="e">
        <f t="shared" si="10"/>
        <v>#REF!</v>
      </c>
      <c r="I37" s="234" t="e">
        <f t="shared" si="3"/>
        <v>#REF!</v>
      </c>
      <c r="J37" s="218" t="s">
        <v>45</v>
      </c>
      <c r="K37" s="235" t="e">
        <f t="shared" si="4"/>
        <v>#REF!</v>
      </c>
      <c r="L37" s="240" t="s">
        <v>45</v>
      </c>
      <c r="M37" s="237" t="e">
        <f t="shared" si="5"/>
        <v>#REF!</v>
      </c>
      <c r="N37" s="241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7"/>
        <v>#REF!</v>
      </c>
      <c r="C38" s="39"/>
      <c r="D38" s="41">
        <v>17</v>
      </c>
      <c r="E38" s="243" t="e">
        <f t="shared" si="8"/>
        <v>#REF!</v>
      </c>
      <c r="F38" s="42" t="e">
        <f t="shared" si="14"/>
        <v>#REF!</v>
      </c>
      <c r="G38" s="232" t="e">
        <f t="shared" si="9"/>
        <v>#REF!</v>
      </c>
      <c r="H38" s="239" t="e">
        <f t="shared" si="10"/>
        <v>#REF!</v>
      </c>
      <c r="I38" s="234" t="e">
        <f t="shared" si="3"/>
        <v>#REF!</v>
      </c>
      <c r="J38" s="218" t="s">
        <v>45</v>
      </c>
      <c r="K38" s="235" t="e">
        <f t="shared" si="4"/>
        <v>#REF!</v>
      </c>
      <c r="L38" s="240" t="s">
        <v>45</v>
      </c>
      <c r="M38" s="237" t="e">
        <f t="shared" si="5"/>
        <v>#REF!</v>
      </c>
      <c r="N38" s="241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12" t="e">
        <f>SUM(M22:M38)</f>
        <v>#REF!</v>
      </c>
      <c r="M40" s="376"/>
      <c r="N40" s="310" t="e">
        <f>SUM(O22:O38)</f>
        <v>#REF!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7">HLOOKUP($O$3,#REF!,116+D46,0)</f>
        <v>#REF!</v>
      </c>
      <c r="F46" s="68"/>
      <c r="G46" s="232" t="e">
        <f t="shared" ref="G46:G49" si="18">HLOOKUP($O$3,#REF!,121+D46,0)</f>
        <v>#REF!</v>
      </c>
      <c r="H46" s="239" t="e">
        <f t="shared" ref="H46:H49" si="19">HLOOKUP($O$3,#REF!,126+D46,0)</f>
        <v>#REF!</v>
      </c>
      <c r="I46" s="234" t="e">
        <f t="shared" ref="I46:I49" si="20">G46+H46</f>
        <v>#REF!</v>
      </c>
      <c r="J46" s="218" t="s">
        <v>45</v>
      </c>
      <c r="K46" s="235" t="e">
        <f t="shared" ref="K46:K49" si="21">IF(E46=0,"sin certificar",IF(J46="-","no pago",IF(J46&gt;0,"DEV",0)))</f>
        <v>#REF!</v>
      </c>
      <c r="L46" s="236" t="s">
        <v>45</v>
      </c>
      <c r="M46" s="237" t="e">
        <f t="shared" ref="M46:M49" si="22">IF(G46=0,"sin certificar",IF(L46="-","no pago",IF(L46&gt;0,"DEV",0)))</f>
        <v>#REF!</v>
      </c>
      <c r="N46" s="238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7"/>
        <v>#REF!</v>
      </c>
      <c r="F47" s="69"/>
      <c r="G47" s="232" t="e">
        <f t="shared" si="18"/>
        <v>#REF!</v>
      </c>
      <c r="H47" s="239" t="e">
        <f t="shared" si="19"/>
        <v>#REF!</v>
      </c>
      <c r="I47" s="234" t="e">
        <f t="shared" si="20"/>
        <v>#REF!</v>
      </c>
      <c r="J47" s="218" t="s">
        <v>45</v>
      </c>
      <c r="K47" s="235" t="e">
        <f t="shared" si="21"/>
        <v>#REF!</v>
      </c>
      <c r="L47" s="236" t="s">
        <v>45</v>
      </c>
      <c r="M47" s="237" t="e">
        <f t="shared" si="22"/>
        <v>#REF!</v>
      </c>
      <c r="N47" s="238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7"/>
        <v>#REF!</v>
      </c>
      <c r="F48" s="69"/>
      <c r="G48" s="232" t="e">
        <f t="shared" si="18"/>
        <v>#REF!</v>
      </c>
      <c r="H48" s="239" t="e">
        <f t="shared" si="19"/>
        <v>#REF!</v>
      </c>
      <c r="I48" s="234" t="e">
        <f t="shared" si="20"/>
        <v>#REF!</v>
      </c>
      <c r="J48" s="218" t="s">
        <v>45</v>
      </c>
      <c r="K48" s="235" t="e">
        <f t="shared" si="21"/>
        <v>#REF!</v>
      </c>
      <c r="L48" s="236" t="s">
        <v>45</v>
      </c>
      <c r="M48" s="237" t="e">
        <f t="shared" si="22"/>
        <v>#REF!</v>
      </c>
      <c r="N48" s="238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7"/>
        <v>#REF!</v>
      </c>
      <c r="F49" s="69"/>
      <c r="G49" s="232" t="e">
        <f t="shared" si="18"/>
        <v>#REF!</v>
      </c>
      <c r="H49" s="239" t="e">
        <f t="shared" si="19"/>
        <v>#REF!</v>
      </c>
      <c r="I49" s="234" t="e">
        <f t="shared" si="20"/>
        <v>#REF!</v>
      </c>
      <c r="J49" s="218" t="s">
        <v>45</v>
      </c>
      <c r="K49" s="235" t="e">
        <f t="shared" si="21"/>
        <v>#REF!</v>
      </c>
      <c r="L49" s="236" t="s">
        <v>45</v>
      </c>
      <c r="M49" s="237" t="e">
        <f t="shared" si="22"/>
        <v>#REF!</v>
      </c>
      <c r="N49" s="238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12" t="e">
        <f>SUM(M46:M50)</f>
        <v>#REF!</v>
      </c>
      <c r="M51" s="376"/>
      <c r="N51" s="310" t="e">
        <f>SUM(O46:O50)</f>
        <v>#REF!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5">HLOOKUP($O$3,#REF!,131+D57,0)</f>
        <v>#REF!</v>
      </c>
      <c r="F57" s="69"/>
      <c r="G57" s="232"/>
      <c r="H57" s="239"/>
      <c r="I57" s="234"/>
      <c r="J57" s="218" t="s">
        <v>45</v>
      </c>
      <c r="K57" s="235" t="e">
        <f t="shared" ref="K57:K60" si="26">IF(E57=0,"sin certificar",IF(J57="-","no pago",IF(J57&gt;0,"DEV",0)))</f>
        <v>#REF!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5"/>
        <v>#REF!</v>
      </c>
      <c r="F58" s="69"/>
      <c r="G58" s="232"/>
      <c r="H58" s="239"/>
      <c r="I58" s="234"/>
      <c r="J58" s="218" t="s">
        <v>45</v>
      </c>
      <c r="K58" s="235" t="e">
        <f t="shared" si="26"/>
        <v>#REF!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5"/>
        <v>#REF!</v>
      </c>
      <c r="F59" s="69"/>
      <c r="G59" s="232"/>
      <c r="H59" s="239"/>
      <c r="I59" s="234"/>
      <c r="J59" s="218" t="s">
        <v>45</v>
      </c>
      <c r="K59" s="235" t="e">
        <f t="shared" si="26"/>
        <v>#REF!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5"/>
        <v>#REF!</v>
      </c>
      <c r="F60" s="69"/>
      <c r="G60" s="232"/>
      <c r="H60" s="239"/>
      <c r="I60" s="234"/>
      <c r="J60" s="218" t="s">
        <v>45</v>
      </c>
      <c r="K60" s="235" t="e">
        <f t="shared" si="26"/>
        <v>#REF!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7">HLOOKUP($O$3,#REF!,137+D68,0)</f>
        <v>#REF!</v>
      </c>
      <c r="F68" s="69"/>
      <c r="G68" s="232"/>
      <c r="H68" s="239"/>
      <c r="I68" s="234"/>
      <c r="J68" s="218" t="s">
        <v>45</v>
      </c>
      <c r="K68" s="235" t="e">
        <f t="shared" ref="K68:K71" si="28">IF(E68=0,"sin certificar",IF(J68="-","no pago",IF(J68&gt;0,"DEV",0)))</f>
        <v>#REF!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7"/>
        <v>#REF!</v>
      </c>
      <c r="F69" s="69"/>
      <c r="G69" s="232"/>
      <c r="H69" s="239"/>
      <c r="I69" s="234"/>
      <c r="J69" s="218" t="s">
        <v>45</v>
      </c>
      <c r="K69" s="235" t="e">
        <f t="shared" si="28"/>
        <v>#REF!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7"/>
        <v>#REF!</v>
      </c>
      <c r="F70" s="69"/>
      <c r="G70" s="232"/>
      <c r="H70" s="239"/>
      <c r="I70" s="234"/>
      <c r="J70" s="218" t="s">
        <v>45</v>
      </c>
      <c r="K70" s="235" t="e">
        <f t="shared" si="28"/>
        <v>#REF!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7"/>
        <v>#REF!</v>
      </c>
      <c r="F71" s="69"/>
      <c r="G71" s="232"/>
      <c r="H71" s="239"/>
      <c r="I71" s="234"/>
      <c r="J71" s="218" t="s">
        <v>45</v>
      </c>
      <c r="K71" s="235" t="e">
        <f t="shared" si="28"/>
        <v>#REF!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45" priority="1" operator="lessThan">
      <formula>E20:E28</formula>
    </cfRule>
  </conditionalFormatting>
  <conditionalFormatting sqref="K46:K49 K68:K71">
    <cfRule type="cellIs" dxfId="44" priority="2" operator="lessThan">
      <formula>E46:E49</formula>
    </cfRule>
  </conditionalFormatting>
  <conditionalFormatting sqref="K57:K60">
    <cfRule type="cellIs" dxfId="43" priority="3" operator="lessThan">
      <formula>E57:E60</formula>
    </cfRule>
  </conditionalFormatting>
  <conditionalFormatting sqref="K68:K71">
    <cfRule type="cellIs" dxfId="42" priority="4" operator="lessThan">
      <formula>E68:E71</formula>
    </cfRule>
  </conditionalFormatting>
  <conditionalFormatting sqref="J20:O39 J46:O49 J57:O60 J68:O71">
    <cfRule type="cellIs" dxfId="41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40" priority="6" operator="equal">
      <formula>"DEV"</formula>
    </cfRule>
  </conditionalFormatting>
  <conditionalFormatting sqref="K20:K38 K46:K49 K57:K60 K68:K71 M20:M38 M46:M49 M57:M60 M68:M71 O20:O38 O46:O49 O57:O60 O68:O71">
    <cfRule type="cellIs" dxfId="39" priority="7" operator="equal">
      <formula>"no pago"</formula>
    </cfRule>
  </conditionalFormatting>
  <conditionalFormatting sqref="B1:D1 B2:E2">
    <cfRule type="expression" dxfId="38" priority="8">
      <formula>$E$1="NO"</formula>
    </cfRule>
  </conditionalFormatting>
  <conditionalFormatting sqref="B1:D1 B2:E2">
    <cfRule type="expression" dxfId="37" priority="9">
      <formula>$E$1="SI"</formula>
    </cfRule>
  </conditionalFormatting>
  <conditionalFormatting sqref="F1">
    <cfRule type="expression" dxfId="36" priority="10">
      <formula>$E$1="NO"</formula>
    </cfRule>
  </conditionalFormatting>
  <conditionalFormatting sqref="F1">
    <cfRule type="expression" dxfId="35" priority="11">
      <formula>$E$1="SI"</formula>
    </cfRule>
  </conditionalFormatting>
  <conditionalFormatting sqref="N7:O8">
    <cfRule type="cellIs" dxfId="34" priority="12" operator="equal">
      <formula>"PARALIZADA"</formula>
    </cfRule>
  </conditionalFormatting>
  <conditionalFormatting sqref="N7:O8">
    <cfRule type="cellIs" dxfId="33" priority="13" operator="equal">
      <formula>"EN EJECUCION"</formula>
    </cfRule>
  </conditionalFormatting>
  <conditionalFormatting sqref="N7:O8">
    <cfRule type="cellIs" dxfId="32" priority="14" operator="equal">
      <formula>"TERMINADA"</formula>
    </cfRule>
  </conditionalFormatting>
  <conditionalFormatting sqref="N7:O8">
    <cfRule type="cellIs" dxfId="31" priority="15" operator="equal">
      <formula>"COMPLETADA"</formula>
    </cfRule>
  </conditionalFormatting>
  <hyperlinks>
    <hyperlink ref="O1" location="null!A1" display="&lt; VOLVER" xr:uid="{00000000-0004-0000-1B00-000000000000}"/>
    <hyperlink ref="Q3" location="null!A1" display="'BASE DATOS'!A1" xr:uid="{00000000-0004-0000-1B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54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 t="e">
        <f>K40</f>
        <v>#REF!</v>
      </c>
      <c r="H13" s="22" t="e">
        <f>K51</f>
        <v>#REF!</v>
      </c>
      <c r="I13" s="203" t="e">
        <f>L40+N40+L51+N51</f>
        <v>#REF!</v>
      </c>
      <c r="J13" s="340" t="e">
        <f>K62</f>
        <v>#REF!</v>
      </c>
      <c r="K13" s="373"/>
      <c r="L13" s="335" t="e">
        <f>K73</f>
        <v>#REF!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e">
        <f t="shared" ref="K20:K38" si="4">IF(E20=0,"sin certificar",IF(J20="-","no pago",IF(J20&gt;0,"DEV",0)))</f>
        <v>#REF!</v>
      </c>
      <c r="L20" s="220" t="s">
        <v>45</v>
      </c>
      <c r="M20" s="221" t="str">
        <f t="shared" ref="M20:M38" si="5">IF(G20=0,"sin certificar",IF(L20="-","no pago",IF(L20&gt;0,"DEV",0)))</f>
        <v>sin certificar</v>
      </c>
      <c r="N20" s="222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e">
        <f t="shared" si="4"/>
        <v>#REF!</v>
      </c>
      <c r="L21" s="228" t="s">
        <v>45</v>
      </c>
      <c r="M21" s="229" t="e">
        <f t="shared" si="5"/>
        <v>#REF!</v>
      </c>
      <c r="N21" s="230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3" t="e">
        <f t="shared" ref="E22:E38" si="8">HLOOKUP($O$3,#REF!,42+D22,0)</f>
        <v>#REF!</v>
      </c>
      <c r="F22" s="42" t="e">
        <f>IF(E22=0,0,$G$7)</f>
        <v>#REF!</v>
      </c>
      <c r="G22" s="232" t="e">
        <f t="shared" ref="G22:G38" si="9">HLOOKUP($O$3,#REF!,63+D22,0)</f>
        <v>#REF!</v>
      </c>
      <c r="H22" s="233" t="e">
        <f t="shared" ref="H22:H38" si="10">HLOOKUP($O$3,#REF!,84+D22,0)</f>
        <v>#REF!</v>
      </c>
      <c r="I22" s="234" t="e">
        <f t="shared" si="3"/>
        <v>#REF!</v>
      </c>
      <c r="J22" s="218" t="s">
        <v>45</v>
      </c>
      <c r="K22" s="235" t="e">
        <f t="shared" si="4"/>
        <v>#REF!</v>
      </c>
      <c r="L22" s="240" t="s">
        <v>45</v>
      </c>
      <c r="M22" s="237" t="e">
        <f t="shared" si="5"/>
        <v>#REF!</v>
      </c>
      <c r="N22" s="241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7"/>
        <v>#REF!</v>
      </c>
      <c r="C23" s="39"/>
      <c r="D23" s="41">
        <v>2</v>
      </c>
      <c r="E23" s="243" t="e">
        <f t="shared" si="8"/>
        <v>#REF!</v>
      </c>
      <c r="F23" s="42" t="e">
        <f t="shared" ref="F23:F38" si="14">EOMONTH(F22,1)</f>
        <v>#REF!</v>
      </c>
      <c r="G23" s="232" t="e">
        <f t="shared" si="9"/>
        <v>#REF!</v>
      </c>
      <c r="H23" s="233" t="e">
        <f t="shared" si="10"/>
        <v>#REF!</v>
      </c>
      <c r="I23" s="234" t="e">
        <f t="shared" si="3"/>
        <v>#REF!</v>
      </c>
      <c r="J23" s="218" t="s">
        <v>45</v>
      </c>
      <c r="K23" s="235" t="e">
        <f t="shared" si="4"/>
        <v>#REF!</v>
      </c>
      <c r="L23" s="240" t="s">
        <v>45</v>
      </c>
      <c r="M23" s="237" t="e">
        <f t="shared" si="5"/>
        <v>#REF!</v>
      </c>
      <c r="N23" s="241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7"/>
        <v>#REF!</v>
      </c>
      <c r="C24" s="39"/>
      <c r="D24" s="41">
        <v>3</v>
      </c>
      <c r="E24" s="243" t="e">
        <f t="shared" si="8"/>
        <v>#REF!</v>
      </c>
      <c r="F24" s="42" t="e">
        <f t="shared" si="14"/>
        <v>#REF!</v>
      </c>
      <c r="G24" s="232" t="e">
        <f t="shared" si="9"/>
        <v>#REF!</v>
      </c>
      <c r="H24" s="233" t="e">
        <f t="shared" si="10"/>
        <v>#REF!</v>
      </c>
      <c r="I24" s="234" t="e">
        <f t="shared" si="3"/>
        <v>#REF!</v>
      </c>
      <c r="J24" s="218" t="s">
        <v>45</v>
      </c>
      <c r="K24" s="235" t="e">
        <f t="shared" si="4"/>
        <v>#REF!</v>
      </c>
      <c r="L24" s="240" t="s">
        <v>45</v>
      </c>
      <c r="M24" s="237" t="e">
        <f t="shared" si="5"/>
        <v>#REF!</v>
      </c>
      <c r="N24" s="241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7"/>
        <v>#REF!</v>
      </c>
      <c r="C25" s="39"/>
      <c r="D25" s="41">
        <v>4</v>
      </c>
      <c r="E25" s="243" t="e">
        <f t="shared" si="8"/>
        <v>#REF!</v>
      </c>
      <c r="F25" s="42" t="e">
        <f t="shared" si="14"/>
        <v>#REF!</v>
      </c>
      <c r="G25" s="232" t="e">
        <f t="shared" si="9"/>
        <v>#REF!</v>
      </c>
      <c r="H25" s="233" t="e">
        <f t="shared" si="10"/>
        <v>#REF!</v>
      </c>
      <c r="I25" s="234" t="e">
        <f t="shared" si="3"/>
        <v>#REF!</v>
      </c>
      <c r="J25" s="218" t="s">
        <v>45</v>
      </c>
      <c r="K25" s="235" t="e">
        <f t="shared" si="4"/>
        <v>#REF!</v>
      </c>
      <c r="L25" s="240" t="s">
        <v>45</v>
      </c>
      <c r="M25" s="237" t="e">
        <f t="shared" si="5"/>
        <v>#REF!</v>
      </c>
      <c r="N25" s="241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7"/>
        <v>#REF!</v>
      </c>
      <c r="C26" s="39"/>
      <c r="D26" s="41">
        <v>5</v>
      </c>
      <c r="E26" s="243" t="e">
        <f t="shared" si="8"/>
        <v>#REF!</v>
      </c>
      <c r="F26" s="42" t="e">
        <f t="shared" si="14"/>
        <v>#REF!</v>
      </c>
      <c r="G26" s="232" t="e">
        <f t="shared" si="9"/>
        <v>#REF!</v>
      </c>
      <c r="H26" s="233" t="e">
        <f t="shared" si="10"/>
        <v>#REF!</v>
      </c>
      <c r="I26" s="234" t="e">
        <f t="shared" si="3"/>
        <v>#REF!</v>
      </c>
      <c r="J26" s="218" t="s">
        <v>45</v>
      </c>
      <c r="K26" s="235" t="e">
        <f t="shared" si="4"/>
        <v>#REF!</v>
      </c>
      <c r="L26" s="240" t="s">
        <v>45</v>
      </c>
      <c r="M26" s="237" t="e">
        <f t="shared" si="5"/>
        <v>#REF!</v>
      </c>
      <c r="N26" s="241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7"/>
        <v>#REF!</v>
      </c>
      <c r="C27" s="39"/>
      <c r="D27" s="41">
        <v>6</v>
      </c>
      <c r="E27" s="243" t="e">
        <f t="shared" si="8"/>
        <v>#REF!</v>
      </c>
      <c r="F27" s="42" t="e">
        <f t="shared" si="14"/>
        <v>#REF!</v>
      </c>
      <c r="G27" s="232" t="e">
        <f t="shared" si="9"/>
        <v>#REF!</v>
      </c>
      <c r="H27" s="239" t="e">
        <f t="shared" si="10"/>
        <v>#REF!</v>
      </c>
      <c r="I27" s="234" t="e">
        <f t="shared" si="3"/>
        <v>#REF!</v>
      </c>
      <c r="J27" s="218" t="s">
        <v>45</v>
      </c>
      <c r="K27" s="235" t="e">
        <f t="shared" si="4"/>
        <v>#REF!</v>
      </c>
      <c r="L27" s="240" t="s">
        <v>45</v>
      </c>
      <c r="M27" s="237" t="e">
        <f t="shared" si="5"/>
        <v>#REF!</v>
      </c>
      <c r="N27" s="241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7"/>
        <v>#REF!</v>
      </c>
      <c r="C28" s="39"/>
      <c r="D28" s="41">
        <v>7</v>
      </c>
      <c r="E28" s="243" t="e">
        <f t="shared" si="8"/>
        <v>#REF!</v>
      </c>
      <c r="F28" s="42" t="e">
        <f t="shared" si="14"/>
        <v>#REF!</v>
      </c>
      <c r="G28" s="232" t="e">
        <f t="shared" si="9"/>
        <v>#REF!</v>
      </c>
      <c r="H28" s="239" t="e">
        <f t="shared" si="10"/>
        <v>#REF!</v>
      </c>
      <c r="I28" s="234" t="e">
        <f t="shared" si="3"/>
        <v>#REF!</v>
      </c>
      <c r="J28" s="218" t="s">
        <v>45</v>
      </c>
      <c r="K28" s="235" t="e">
        <f t="shared" si="4"/>
        <v>#REF!</v>
      </c>
      <c r="L28" s="240" t="s">
        <v>45</v>
      </c>
      <c r="M28" s="237" t="e">
        <f t="shared" si="5"/>
        <v>#REF!</v>
      </c>
      <c r="N28" s="241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7"/>
        <v>#REF!</v>
      </c>
      <c r="C29" s="39"/>
      <c r="D29" s="41">
        <v>8</v>
      </c>
      <c r="E29" s="243" t="e">
        <f t="shared" si="8"/>
        <v>#REF!</v>
      </c>
      <c r="F29" s="42" t="e">
        <f t="shared" si="14"/>
        <v>#REF!</v>
      </c>
      <c r="G29" s="232" t="e">
        <f t="shared" si="9"/>
        <v>#REF!</v>
      </c>
      <c r="H29" s="239" t="e">
        <f t="shared" si="10"/>
        <v>#REF!</v>
      </c>
      <c r="I29" s="234" t="e">
        <f t="shared" si="3"/>
        <v>#REF!</v>
      </c>
      <c r="J29" s="218" t="s">
        <v>45</v>
      </c>
      <c r="K29" s="235" t="e">
        <f t="shared" si="4"/>
        <v>#REF!</v>
      </c>
      <c r="L29" s="240" t="s">
        <v>45</v>
      </c>
      <c r="M29" s="237" t="e">
        <f t="shared" si="5"/>
        <v>#REF!</v>
      </c>
      <c r="N29" s="241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7"/>
        <v>#REF!</v>
      </c>
      <c r="C30" s="39"/>
      <c r="D30" s="41">
        <v>9</v>
      </c>
      <c r="E30" s="243" t="e">
        <f t="shared" si="8"/>
        <v>#REF!</v>
      </c>
      <c r="F30" s="42" t="e">
        <f t="shared" si="14"/>
        <v>#REF!</v>
      </c>
      <c r="G30" s="232" t="e">
        <f t="shared" si="9"/>
        <v>#REF!</v>
      </c>
      <c r="H30" s="239" t="e">
        <f t="shared" si="10"/>
        <v>#REF!</v>
      </c>
      <c r="I30" s="234" t="e">
        <f t="shared" si="3"/>
        <v>#REF!</v>
      </c>
      <c r="J30" s="218" t="s">
        <v>45</v>
      </c>
      <c r="K30" s="235" t="e">
        <f t="shared" si="4"/>
        <v>#REF!</v>
      </c>
      <c r="L30" s="240" t="s">
        <v>45</v>
      </c>
      <c r="M30" s="237" t="e">
        <f t="shared" si="5"/>
        <v>#REF!</v>
      </c>
      <c r="N30" s="241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7"/>
        <v>#REF!</v>
      </c>
      <c r="C31" s="39"/>
      <c r="D31" s="41">
        <v>10</v>
      </c>
      <c r="E31" s="243" t="e">
        <f t="shared" si="8"/>
        <v>#REF!</v>
      </c>
      <c r="F31" s="42" t="e">
        <f t="shared" si="14"/>
        <v>#REF!</v>
      </c>
      <c r="G31" s="232" t="e">
        <f t="shared" si="9"/>
        <v>#REF!</v>
      </c>
      <c r="H31" s="239" t="e">
        <f t="shared" si="10"/>
        <v>#REF!</v>
      </c>
      <c r="I31" s="234" t="e">
        <f t="shared" si="3"/>
        <v>#REF!</v>
      </c>
      <c r="J31" s="218" t="s">
        <v>45</v>
      </c>
      <c r="K31" s="235" t="e">
        <f t="shared" si="4"/>
        <v>#REF!</v>
      </c>
      <c r="L31" s="240" t="s">
        <v>45</v>
      </c>
      <c r="M31" s="237" t="e">
        <f t="shared" si="5"/>
        <v>#REF!</v>
      </c>
      <c r="N31" s="241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7"/>
        <v>#REF!</v>
      </c>
      <c r="C32" s="39"/>
      <c r="D32" s="41">
        <v>11</v>
      </c>
      <c r="E32" s="243" t="e">
        <f t="shared" si="8"/>
        <v>#REF!</v>
      </c>
      <c r="F32" s="42" t="e">
        <f t="shared" si="14"/>
        <v>#REF!</v>
      </c>
      <c r="G32" s="232" t="e">
        <f t="shared" si="9"/>
        <v>#REF!</v>
      </c>
      <c r="H32" s="239" t="e">
        <f t="shared" si="10"/>
        <v>#REF!</v>
      </c>
      <c r="I32" s="234" t="e">
        <f t="shared" si="3"/>
        <v>#REF!</v>
      </c>
      <c r="J32" s="218" t="s">
        <v>45</v>
      </c>
      <c r="K32" s="235" t="e">
        <f t="shared" si="4"/>
        <v>#REF!</v>
      </c>
      <c r="L32" s="240" t="s">
        <v>45</v>
      </c>
      <c r="M32" s="237" t="e">
        <f t="shared" si="5"/>
        <v>#REF!</v>
      </c>
      <c r="N32" s="241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7"/>
        <v>#REF!</v>
      </c>
      <c r="C33" s="39"/>
      <c r="D33" s="41">
        <v>12</v>
      </c>
      <c r="E33" s="243" t="e">
        <f t="shared" si="8"/>
        <v>#REF!</v>
      </c>
      <c r="F33" s="42" t="e">
        <f t="shared" si="14"/>
        <v>#REF!</v>
      </c>
      <c r="G33" s="232" t="e">
        <f t="shared" si="9"/>
        <v>#REF!</v>
      </c>
      <c r="H33" s="239" t="e">
        <f t="shared" si="10"/>
        <v>#REF!</v>
      </c>
      <c r="I33" s="234" t="e">
        <f t="shared" si="3"/>
        <v>#REF!</v>
      </c>
      <c r="J33" s="218" t="s">
        <v>45</v>
      </c>
      <c r="K33" s="235" t="e">
        <f t="shared" si="4"/>
        <v>#REF!</v>
      </c>
      <c r="L33" s="240" t="s">
        <v>45</v>
      </c>
      <c r="M33" s="237" t="e">
        <f t="shared" si="5"/>
        <v>#REF!</v>
      </c>
      <c r="N33" s="241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7"/>
        <v>#REF!</v>
      </c>
      <c r="C34" s="39"/>
      <c r="D34" s="41">
        <v>13</v>
      </c>
      <c r="E34" s="243" t="e">
        <f t="shared" si="8"/>
        <v>#REF!</v>
      </c>
      <c r="F34" s="42" t="e">
        <f t="shared" si="14"/>
        <v>#REF!</v>
      </c>
      <c r="G34" s="232" t="e">
        <f t="shared" si="9"/>
        <v>#REF!</v>
      </c>
      <c r="H34" s="239" t="e">
        <f t="shared" si="10"/>
        <v>#REF!</v>
      </c>
      <c r="I34" s="234" t="e">
        <f t="shared" si="3"/>
        <v>#REF!</v>
      </c>
      <c r="J34" s="218" t="s">
        <v>45</v>
      </c>
      <c r="K34" s="235" t="e">
        <f t="shared" si="4"/>
        <v>#REF!</v>
      </c>
      <c r="L34" s="240" t="s">
        <v>45</v>
      </c>
      <c r="M34" s="237" t="e">
        <f t="shared" si="5"/>
        <v>#REF!</v>
      </c>
      <c r="N34" s="241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7"/>
        <v>#REF!</v>
      </c>
      <c r="C35" s="39"/>
      <c r="D35" s="41">
        <v>14</v>
      </c>
      <c r="E35" s="243" t="e">
        <f t="shared" si="8"/>
        <v>#REF!</v>
      </c>
      <c r="F35" s="42" t="e">
        <f t="shared" si="14"/>
        <v>#REF!</v>
      </c>
      <c r="G35" s="232" t="e">
        <f t="shared" si="9"/>
        <v>#REF!</v>
      </c>
      <c r="H35" s="239" t="e">
        <f t="shared" si="10"/>
        <v>#REF!</v>
      </c>
      <c r="I35" s="234" t="e">
        <f t="shared" si="3"/>
        <v>#REF!</v>
      </c>
      <c r="J35" s="218" t="s">
        <v>45</v>
      </c>
      <c r="K35" s="235" t="e">
        <f t="shared" si="4"/>
        <v>#REF!</v>
      </c>
      <c r="L35" s="240" t="s">
        <v>45</v>
      </c>
      <c r="M35" s="237" t="e">
        <f t="shared" si="5"/>
        <v>#REF!</v>
      </c>
      <c r="N35" s="241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7"/>
        <v>#REF!</v>
      </c>
      <c r="C36" s="39"/>
      <c r="D36" s="41">
        <v>15</v>
      </c>
      <c r="E36" s="243" t="e">
        <f t="shared" si="8"/>
        <v>#REF!</v>
      </c>
      <c r="F36" s="42" t="e">
        <f t="shared" si="14"/>
        <v>#REF!</v>
      </c>
      <c r="G36" s="232" t="e">
        <f t="shared" si="9"/>
        <v>#REF!</v>
      </c>
      <c r="H36" s="239" t="e">
        <f t="shared" si="10"/>
        <v>#REF!</v>
      </c>
      <c r="I36" s="234" t="e">
        <f t="shared" si="3"/>
        <v>#REF!</v>
      </c>
      <c r="J36" s="218" t="s">
        <v>45</v>
      </c>
      <c r="K36" s="235" t="e">
        <f t="shared" si="4"/>
        <v>#REF!</v>
      </c>
      <c r="L36" s="240" t="s">
        <v>45</v>
      </c>
      <c r="M36" s="237" t="e">
        <f t="shared" si="5"/>
        <v>#REF!</v>
      </c>
      <c r="N36" s="241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7"/>
        <v>#REF!</v>
      </c>
      <c r="C37" s="39"/>
      <c r="D37" s="41">
        <v>16</v>
      </c>
      <c r="E37" s="231" t="e">
        <f t="shared" si="8"/>
        <v>#REF!</v>
      </c>
      <c r="F37" s="42" t="e">
        <f t="shared" si="14"/>
        <v>#REF!</v>
      </c>
      <c r="G37" s="232" t="e">
        <f t="shared" si="9"/>
        <v>#REF!</v>
      </c>
      <c r="H37" s="239" t="e">
        <f t="shared" si="10"/>
        <v>#REF!</v>
      </c>
      <c r="I37" s="234" t="e">
        <f t="shared" si="3"/>
        <v>#REF!</v>
      </c>
      <c r="J37" s="218" t="s">
        <v>45</v>
      </c>
      <c r="K37" s="235" t="e">
        <f t="shared" si="4"/>
        <v>#REF!</v>
      </c>
      <c r="L37" s="240" t="s">
        <v>45</v>
      </c>
      <c r="M37" s="237" t="e">
        <f t="shared" si="5"/>
        <v>#REF!</v>
      </c>
      <c r="N37" s="241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7"/>
        <v>#REF!</v>
      </c>
      <c r="C38" s="39"/>
      <c r="D38" s="41">
        <v>17</v>
      </c>
      <c r="E38" s="243" t="e">
        <f t="shared" si="8"/>
        <v>#REF!</v>
      </c>
      <c r="F38" s="42" t="e">
        <f t="shared" si="14"/>
        <v>#REF!</v>
      </c>
      <c r="G38" s="232" t="e">
        <f t="shared" si="9"/>
        <v>#REF!</v>
      </c>
      <c r="H38" s="239" t="e">
        <f t="shared" si="10"/>
        <v>#REF!</v>
      </c>
      <c r="I38" s="234" t="e">
        <f t="shared" si="3"/>
        <v>#REF!</v>
      </c>
      <c r="J38" s="218" t="s">
        <v>45</v>
      </c>
      <c r="K38" s="235" t="e">
        <f t="shared" si="4"/>
        <v>#REF!</v>
      </c>
      <c r="L38" s="240" t="s">
        <v>45</v>
      </c>
      <c r="M38" s="237" t="e">
        <f t="shared" si="5"/>
        <v>#REF!</v>
      </c>
      <c r="N38" s="241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12" t="e">
        <f>SUM(M22:M38)</f>
        <v>#REF!</v>
      </c>
      <c r="M40" s="376"/>
      <c r="N40" s="310" t="e">
        <f>SUM(O22:O38)</f>
        <v>#REF!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7">HLOOKUP($O$3,#REF!,116+D46,0)</f>
        <v>#REF!</v>
      </c>
      <c r="F46" s="68"/>
      <c r="G46" s="232" t="e">
        <f t="shared" ref="G46:G49" si="18">HLOOKUP($O$3,#REF!,121+D46,0)</f>
        <v>#REF!</v>
      </c>
      <c r="H46" s="239" t="e">
        <f t="shared" ref="H46:H49" si="19">HLOOKUP($O$3,#REF!,126+D46,0)</f>
        <v>#REF!</v>
      </c>
      <c r="I46" s="234" t="e">
        <f t="shared" ref="I46:I49" si="20">G46+H46</f>
        <v>#REF!</v>
      </c>
      <c r="J46" s="218" t="s">
        <v>45</v>
      </c>
      <c r="K46" s="235" t="e">
        <f t="shared" ref="K46:K49" si="21">IF(E46=0,"sin certificar",IF(J46="-","no pago",IF(J46&gt;0,"DEV",0)))</f>
        <v>#REF!</v>
      </c>
      <c r="L46" s="236" t="s">
        <v>45</v>
      </c>
      <c r="M46" s="237" t="e">
        <f t="shared" ref="M46:M49" si="22">IF(G46=0,"sin certificar",IF(L46="-","no pago",IF(L46&gt;0,"DEV",0)))</f>
        <v>#REF!</v>
      </c>
      <c r="N46" s="238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7"/>
        <v>#REF!</v>
      </c>
      <c r="F47" s="69"/>
      <c r="G47" s="232" t="e">
        <f t="shared" si="18"/>
        <v>#REF!</v>
      </c>
      <c r="H47" s="239" t="e">
        <f t="shared" si="19"/>
        <v>#REF!</v>
      </c>
      <c r="I47" s="234" t="e">
        <f t="shared" si="20"/>
        <v>#REF!</v>
      </c>
      <c r="J47" s="218" t="s">
        <v>45</v>
      </c>
      <c r="K47" s="235" t="e">
        <f t="shared" si="21"/>
        <v>#REF!</v>
      </c>
      <c r="L47" s="236" t="s">
        <v>45</v>
      </c>
      <c r="M47" s="237" t="e">
        <f t="shared" si="22"/>
        <v>#REF!</v>
      </c>
      <c r="N47" s="238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7"/>
        <v>#REF!</v>
      </c>
      <c r="F48" s="69"/>
      <c r="G48" s="232" t="e">
        <f t="shared" si="18"/>
        <v>#REF!</v>
      </c>
      <c r="H48" s="239" t="e">
        <f t="shared" si="19"/>
        <v>#REF!</v>
      </c>
      <c r="I48" s="234" t="e">
        <f t="shared" si="20"/>
        <v>#REF!</v>
      </c>
      <c r="J48" s="218" t="s">
        <v>45</v>
      </c>
      <c r="K48" s="235" t="e">
        <f t="shared" si="21"/>
        <v>#REF!</v>
      </c>
      <c r="L48" s="236" t="s">
        <v>45</v>
      </c>
      <c r="M48" s="237" t="e">
        <f t="shared" si="22"/>
        <v>#REF!</v>
      </c>
      <c r="N48" s="238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7"/>
        <v>#REF!</v>
      </c>
      <c r="F49" s="69"/>
      <c r="G49" s="232" t="e">
        <f t="shared" si="18"/>
        <v>#REF!</v>
      </c>
      <c r="H49" s="239" t="e">
        <f t="shared" si="19"/>
        <v>#REF!</v>
      </c>
      <c r="I49" s="234" t="e">
        <f t="shared" si="20"/>
        <v>#REF!</v>
      </c>
      <c r="J49" s="218" t="s">
        <v>45</v>
      </c>
      <c r="K49" s="235" t="e">
        <f t="shared" si="21"/>
        <v>#REF!</v>
      </c>
      <c r="L49" s="236" t="s">
        <v>45</v>
      </c>
      <c r="M49" s="237" t="e">
        <f t="shared" si="22"/>
        <v>#REF!</v>
      </c>
      <c r="N49" s="238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12" t="e">
        <f>SUM(M46:M50)</f>
        <v>#REF!</v>
      </c>
      <c r="M51" s="376"/>
      <c r="N51" s="310" t="e">
        <f>SUM(O46:O50)</f>
        <v>#REF!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5">HLOOKUP($O$3,#REF!,131+D57,0)</f>
        <v>#REF!</v>
      </c>
      <c r="F57" s="69"/>
      <c r="G57" s="232"/>
      <c r="H57" s="239"/>
      <c r="I57" s="234"/>
      <c r="J57" s="218" t="s">
        <v>45</v>
      </c>
      <c r="K57" s="235" t="e">
        <f t="shared" ref="K57:K60" si="26">IF(E57=0,"sin certificar",IF(J57="-","no pago",IF(J57&gt;0,"DEV",0)))</f>
        <v>#REF!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5"/>
        <v>#REF!</v>
      </c>
      <c r="F58" s="69"/>
      <c r="G58" s="232"/>
      <c r="H58" s="239"/>
      <c r="I58" s="234"/>
      <c r="J58" s="218" t="s">
        <v>45</v>
      </c>
      <c r="K58" s="235" t="e">
        <f t="shared" si="26"/>
        <v>#REF!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5"/>
        <v>#REF!</v>
      </c>
      <c r="F59" s="69"/>
      <c r="G59" s="232"/>
      <c r="H59" s="239"/>
      <c r="I59" s="234"/>
      <c r="J59" s="218" t="s">
        <v>45</v>
      </c>
      <c r="K59" s="235" t="e">
        <f t="shared" si="26"/>
        <v>#REF!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5"/>
        <v>#REF!</v>
      </c>
      <c r="F60" s="69"/>
      <c r="G60" s="232"/>
      <c r="H60" s="239"/>
      <c r="I60" s="234"/>
      <c r="J60" s="218" t="s">
        <v>45</v>
      </c>
      <c r="K60" s="235" t="e">
        <f t="shared" si="26"/>
        <v>#REF!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7">HLOOKUP($O$3,#REF!,137+D68,0)</f>
        <v>#REF!</v>
      </c>
      <c r="F68" s="69"/>
      <c r="G68" s="232"/>
      <c r="H68" s="239"/>
      <c r="I68" s="234"/>
      <c r="J68" s="218" t="s">
        <v>45</v>
      </c>
      <c r="K68" s="235" t="e">
        <f t="shared" ref="K68:K71" si="28">IF(E68=0,"sin certificar",IF(J68="-","no pago",IF(J68&gt;0,"DEV",0)))</f>
        <v>#REF!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7"/>
        <v>#REF!</v>
      </c>
      <c r="F69" s="69"/>
      <c r="G69" s="232"/>
      <c r="H69" s="239"/>
      <c r="I69" s="234"/>
      <c r="J69" s="218" t="s">
        <v>45</v>
      </c>
      <c r="K69" s="235" t="e">
        <f t="shared" si="28"/>
        <v>#REF!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7"/>
        <v>#REF!</v>
      </c>
      <c r="F70" s="69"/>
      <c r="G70" s="232"/>
      <c r="H70" s="239"/>
      <c r="I70" s="234"/>
      <c r="J70" s="218" t="s">
        <v>45</v>
      </c>
      <c r="K70" s="235" t="e">
        <f t="shared" si="28"/>
        <v>#REF!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7"/>
        <v>#REF!</v>
      </c>
      <c r="F71" s="69"/>
      <c r="G71" s="232"/>
      <c r="H71" s="239"/>
      <c r="I71" s="234"/>
      <c r="J71" s="218" t="s">
        <v>45</v>
      </c>
      <c r="K71" s="235" t="e">
        <f t="shared" si="28"/>
        <v>#REF!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30" priority="1" operator="lessThan">
      <formula>E20:E28</formula>
    </cfRule>
  </conditionalFormatting>
  <conditionalFormatting sqref="K46:K49 K68:K71">
    <cfRule type="cellIs" dxfId="29" priority="2" operator="lessThan">
      <formula>E46:E49</formula>
    </cfRule>
  </conditionalFormatting>
  <conditionalFormatting sqref="K57:K60">
    <cfRule type="cellIs" dxfId="28" priority="3" operator="lessThan">
      <formula>E57:E60</formula>
    </cfRule>
  </conditionalFormatting>
  <conditionalFormatting sqref="K68:K71">
    <cfRule type="cellIs" dxfId="27" priority="4" operator="lessThan">
      <formula>E68:E71</formula>
    </cfRule>
  </conditionalFormatting>
  <conditionalFormatting sqref="J20:O39 J46:O49 J57:O60 J68:O71">
    <cfRule type="cellIs" dxfId="26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25" priority="6" operator="equal">
      <formula>"DEV"</formula>
    </cfRule>
  </conditionalFormatting>
  <conditionalFormatting sqref="K20:K38 K46:K49 K57:K60 K68:K71 M20:M38 M46:M49 M57:M60 M68:M71 O20:O38 O46:O49 O57:O60 O68:O71">
    <cfRule type="cellIs" dxfId="24" priority="7" operator="equal">
      <formula>"no pago"</formula>
    </cfRule>
  </conditionalFormatting>
  <conditionalFormatting sqref="B1:D1 B2:E2">
    <cfRule type="expression" dxfId="23" priority="8">
      <formula>$E$1="NO"</formula>
    </cfRule>
  </conditionalFormatting>
  <conditionalFormatting sqref="B1:D1 B2:E2">
    <cfRule type="expression" dxfId="22" priority="9">
      <formula>$E$1="SI"</formula>
    </cfRule>
  </conditionalFormatting>
  <conditionalFormatting sqref="F1">
    <cfRule type="expression" dxfId="21" priority="10">
      <formula>$E$1="NO"</formula>
    </cfRule>
  </conditionalFormatting>
  <conditionalFormatting sqref="F1">
    <cfRule type="expression" dxfId="20" priority="11">
      <formula>$E$1="SI"</formula>
    </cfRule>
  </conditionalFormatting>
  <conditionalFormatting sqref="N7:O8">
    <cfRule type="cellIs" dxfId="19" priority="12" operator="equal">
      <formula>"PARALIZADA"</formula>
    </cfRule>
  </conditionalFormatting>
  <conditionalFormatting sqref="N7:O8">
    <cfRule type="cellIs" dxfId="18" priority="13" operator="equal">
      <formula>"EN EJECUCION"</formula>
    </cfRule>
  </conditionalFormatting>
  <conditionalFormatting sqref="N7:O8">
    <cfRule type="cellIs" dxfId="17" priority="14" operator="equal">
      <formula>"TERMINADA"</formula>
    </cfRule>
  </conditionalFormatting>
  <conditionalFormatting sqref="N7:O8">
    <cfRule type="cellIs" dxfId="16" priority="15" operator="equal">
      <formula>"COMPLETADA"</formula>
    </cfRule>
  </conditionalFormatting>
  <hyperlinks>
    <hyperlink ref="O1" location="null!A1" display="&lt; VOLVER" xr:uid="{00000000-0004-0000-1C00-000000000000}"/>
    <hyperlink ref="Q3" location="null!A1" display="'BASE DATOS'!A1" xr:uid="{00000000-0004-0000-1C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18" customWidth="1"/>
    <col min="6" max="6" width="20.5703125" customWidth="1"/>
    <col min="7" max="7" width="22.85546875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8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66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40</v>
      </c>
      <c r="P3" s="1"/>
      <c r="Q3" s="78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67</v>
      </c>
      <c r="E5" s="79">
        <v>44548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80" t="e">
        <f>HLOOKUP($O$3,#REF!,4,0)</f>
        <v>#REF!</v>
      </c>
      <c r="F6" s="192" t="s">
        <v>10</v>
      </c>
      <c r="G6" s="14">
        <v>15205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1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13841419</v>
      </c>
      <c r="H13" s="22">
        <f>K51</f>
        <v>2478133.5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>
        <v>162743.04000000001</v>
      </c>
      <c r="C22" s="39"/>
      <c r="D22" s="41">
        <v>1</v>
      </c>
      <c r="E22" s="243">
        <v>162743.04000000001</v>
      </c>
      <c r="F22" s="42" t="e">
        <f>IF(E22=0,0,$G$7)</f>
        <v>#REF!</v>
      </c>
      <c r="G22" s="232" t="e">
        <f t="shared" ref="G22:G38" si="4">HLOOKUP($O$3,#REF!,63+D22,0)</f>
        <v>#REF!</v>
      </c>
      <c r="H22" s="239" t="e">
        <f t="shared" ref="H22:H38" si="5">HLOOKUP($O$3,#REF!,84+D22,0)</f>
        <v>#REF!</v>
      </c>
      <c r="I22" s="234" t="e">
        <f t="shared" si="3"/>
        <v>#REF!</v>
      </c>
      <c r="J22" s="218">
        <v>44459</v>
      </c>
      <c r="K22" s="235">
        <v>162743.04000000001</v>
      </c>
      <c r="L22" s="240" t="s">
        <v>45</v>
      </c>
      <c r="M22" s="242" t="s">
        <v>46</v>
      </c>
      <c r="N22" s="241" t="s">
        <v>45</v>
      </c>
      <c r="O22" s="43" t="s">
        <v>46</v>
      </c>
      <c r="P22" s="1"/>
      <c r="Q22" s="44" t="e">
        <f t="shared" ref="Q22:Q38" si="6">IF(E22=0,,I22/E22)</f>
        <v>#REF!</v>
      </c>
      <c r="R22" s="1"/>
      <c r="S22" s="4" t="e">
        <f t="shared" ref="S22:S26" si="7">IF(O22="sin certificar",(E22*$Q$39)-I22,0)</f>
        <v>#REF!</v>
      </c>
      <c r="T22" s="4" t="e">
        <f t="shared" ref="T22:T25" si="8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>
        <v>773029.44</v>
      </c>
      <c r="C23" s="39"/>
      <c r="D23" s="41">
        <v>2</v>
      </c>
      <c r="E23" s="243">
        <v>773029.44</v>
      </c>
      <c r="F23" s="42" t="e">
        <f t="shared" ref="F23:F38" si="9">IF($G$15=0&amp;E23=0,0,EOMONTH(F22,1))</f>
        <v>#REF!</v>
      </c>
      <c r="G23" s="232" t="e">
        <f t="shared" si="4"/>
        <v>#REF!</v>
      </c>
      <c r="H23" s="239" t="e">
        <f t="shared" si="5"/>
        <v>#REF!</v>
      </c>
      <c r="I23" s="234" t="e">
        <f t="shared" si="3"/>
        <v>#REF!</v>
      </c>
      <c r="J23" s="218">
        <v>44505</v>
      </c>
      <c r="K23" s="235">
        <v>773029.44</v>
      </c>
      <c r="L23" s="240" t="s">
        <v>45</v>
      </c>
      <c r="M23" s="242" t="s">
        <v>46</v>
      </c>
      <c r="N23" s="241" t="s">
        <v>45</v>
      </c>
      <c r="O23" s="43" t="s">
        <v>46</v>
      </c>
      <c r="P23" s="1"/>
      <c r="Q23" s="44" t="e">
        <f t="shared" si="6"/>
        <v>#REF!</v>
      </c>
      <c r="R23" s="1"/>
      <c r="S23" s="4" t="e">
        <f t="shared" si="7"/>
        <v>#REF!</v>
      </c>
      <c r="T23" s="4" t="e">
        <f t="shared" si="8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ref="B24:B38" si="10">HLOOKUP($O$3,#REF!,21+A24,0)</f>
        <v>#REF!</v>
      </c>
      <c r="C24" s="39"/>
      <c r="D24" s="41">
        <v>3</v>
      </c>
      <c r="E24" s="243" t="e">
        <f t="shared" ref="E24:E38" si="11">HLOOKUP($O$3,#REF!,42+D24,0)</f>
        <v>#REF!</v>
      </c>
      <c r="F24" s="42" t="e">
        <f t="shared" si="9"/>
        <v>#REF!</v>
      </c>
      <c r="G24" s="232" t="e">
        <f t="shared" si="4"/>
        <v>#REF!</v>
      </c>
      <c r="H24" s="239" t="e">
        <f t="shared" si="5"/>
        <v>#REF!</v>
      </c>
      <c r="I24" s="234" t="e">
        <f t="shared" si="3"/>
        <v>#REF!</v>
      </c>
      <c r="J24" s="218">
        <v>44511</v>
      </c>
      <c r="K24" s="235">
        <v>580371.12</v>
      </c>
      <c r="L24" s="240" t="s">
        <v>45</v>
      </c>
      <c r="M24" s="242" t="s">
        <v>46</v>
      </c>
      <c r="N24" s="241" t="s">
        <v>45</v>
      </c>
      <c r="O24" s="43" t="s">
        <v>46</v>
      </c>
      <c r="P24" s="1"/>
      <c r="Q24" s="44" t="e">
        <f t="shared" si="6"/>
        <v>#REF!</v>
      </c>
      <c r="R24" s="1"/>
      <c r="S24" s="4" t="e">
        <f t="shared" si="7"/>
        <v>#REF!</v>
      </c>
      <c r="T24" s="4" t="e">
        <f t="shared" si="8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10"/>
        <v>#REF!</v>
      </c>
      <c r="C25" s="39"/>
      <c r="D25" s="41">
        <v>4</v>
      </c>
      <c r="E25" s="243" t="e">
        <f t="shared" si="11"/>
        <v>#REF!</v>
      </c>
      <c r="F25" s="42" t="e">
        <f t="shared" si="9"/>
        <v>#REF!</v>
      </c>
      <c r="G25" s="232" t="e">
        <f t="shared" si="4"/>
        <v>#REF!</v>
      </c>
      <c r="H25" s="239" t="e">
        <f t="shared" si="5"/>
        <v>#REF!</v>
      </c>
      <c r="I25" s="234" t="e">
        <f t="shared" si="3"/>
        <v>#REF!</v>
      </c>
      <c r="J25" s="218">
        <v>44544</v>
      </c>
      <c r="K25" s="235">
        <v>1167680.3999999999</v>
      </c>
      <c r="L25" s="240" t="s">
        <v>45</v>
      </c>
      <c r="M25" s="242" t="s">
        <v>46</v>
      </c>
      <c r="N25" s="241" t="s">
        <v>45</v>
      </c>
      <c r="O25" s="43" t="s">
        <v>46</v>
      </c>
      <c r="P25" s="1"/>
      <c r="Q25" s="44" t="e">
        <f t="shared" si="6"/>
        <v>#REF!</v>
      </c>
      <c r="R25" s="1"/>
      <c r="S25" s="4" t="e">
        <f t="shared" si="7"/>
        <v>#REF!</v>
      </c>
      <c r="T25" s="4" t="e">
        <f t="shared" si="8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10"/>
        <v>#REF!</v>
      </c>
      <c r="C26" s="39"/>
      <c r="D26" s="41">
        <v>5</v>
      </c>
      <c r="E26" s="243" t="e">
        <f t="shared" si="11"/>
        <v>#REF!</v>
      </c>
      <c r="F26" s="42" t="e">
        <f t="shared" si="9"/>
        <v>#REF!</v>
      </c>
      <c r="G26" s="232" t="e">
        <f t="shared" si="4"/>
        <v>#REF!</v>
      </c>
      <c r="H26" s="239" t="e">
        <f t="shared" si="5"/>
        <v>#REF!</v>
      </c>
      <c r="I26" s="234" t="e">
        <f t="shared" si="3"/>
        <v>#REF!</v>
      </c>
      <c r="J26" s="218">
        <v>44574</v>
      </c>
      <c r="K26" s="235">
        <v>5341229.92</v>
      </c>
      <c r="L26" s="240" t="s">
        <v>45</v>
      </c>
      <c r="M26" s="242" t="s">
        <v>46</v>
      </c>
      <c r="N26" s="241" t="s">
        <v>45</v>
      </c>
      <c r="O26" s="43" t="s">
        <v>46</v>
      </c>
      <c r="P26" s="1"/>
      <c r="Q26" s="44" t="e">
        <f t="shared" si="6"/>
        <v>#REF!</v>
      </c>
      <c r="R26" s="1"/>
      <c r="S26" s="4" t="e">
        <f t="shared" si="7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10"/>
        <v>#REF!</v>
      </c>
      <c r="C27" s="39"/>
      <c r="D27" s="41">
        <v>6</v>
      </c>
      <c r="E27" s="243" t="e">
        <f t="shared" si="11"/>
        <v>#REF!</v>
      </c>
      <c r="F27" s="42" t="e">
        <f t="shared" si="9"/>
        <v>#REF!</v>
      </c>
      <c r="G27" s="232" t="e">
        <f t="shared" si="4"/>
        <v>#REF!</v>
      </c>
      <c r="H27" s="239" t="e">
        <f t="shared" si="5"/>
        <v>#REF!</v>
      </c>
      <c r="I27" s="234" t="e">
        <f t="shared" si="3"/>
        <v>#REF!</v>
      </c>
      <c r="J27" s="218">
        <v>44602</v>
      </c>
      <c r="K27" s="235">
        <v>5816365.0800000001</v>
      </c>
      <c r="L27" s="240" t="s">
        <v>45</v>
      </c>
      <c r="M27" s="242" t="s">
        <v>46</v>
      </c>
      <c r="N27" s="241" t="s">
        <v>45</v>
      </c>
      <c r="O27" s="43" t="s">
        <v>46</v>
      </c>
      <c r="P27" s="1"/>
      <c r="Q27" s="44" t="e">
        <f t="shared" si="6"/>
        <v>#REF!</v>
      </c>
      <c r="R27" s="1"/>
      <c r="S27" s="83"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10"/>
        <v>#REF!</v>
      </c>
      <c r="C28" s="39"/>
      <c r="D28" s="41">
        <v>7</v>
      </c>
      <c r="E28" s="243" t="e">
        <f t="shared" si="11"/>
        <v>#REF!</v>
      </c>
      <c r="F28" s="42" t="e">
        <f t="shared" si="9"/>
        <v>#REF!</v>
      </c>
      <c r="G28" s="232" t="e">
        <f t="shared" si="4"/>
        <v>#REF!</v>
      </c>
      <c r="H28" s="239" t="e">
        <f t="shared" si="5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42" t="s">
        <v>46</v>
      </c>
      <c r="N28" s="241" t="s">
        <v>45</v>
      </c>
      <c r="O28" s="43" t="s">
        <v>46</v>
      </c>
      <c r="P28" s="1"/>
      <c r="Q28" s="44" t="e">
        <f t="shared" si="6"/>
        <v>#REF!</v>
      </c>
      <c r="R28" s="1"/>
      <c r="S28" s="4" t="e">
        <f t="shared" ref="S28:S38" si="12">IF(O28="sin certificar",(E28*$Q$39)-I28,0)</f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10"/>
        <v>#REF!</v>
      </c>
      <c r="C29" s="39"/>
      <c r="D29" s="41">
        <v>8</v>
      </c>
      <c r="E29" s="243" t="e">
        <f t="shared" si="11"/>
        <v>#REF!</v>
      </c>
      <c r="F29" s="42" t="e">
        <f t="shared" si="9"/>
        <v>#REF!</v>
      </c>
      <c r="G29" s="232" t="e">
        <f t="shared" si="4"/>
        <v>#REF!</v>
      </c>
      <c r="H29" s="239" t="e">
        <f t="shared" si="5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42" t="s">
        <v>46</v>
      </c>
      <c r="N29" s="241" t="s">
        <v>45</v>
      </c>
      <c r="O29" s="43" t="s">
        <v>46</v>
      </c>
      <c r="P29" s="1"/>
      <c r="Q29" s="44" t="e">
        <f t="shared" si="6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10"/>
        <v>#REF!</v>
      </c>
      <c r="C30" s="39"/>
      <c r="D30" s="41">
        <v>9</v>
      </c>
      <c r="E30" s="243" t="e">
        <f t="shared" si="11"/>
        <v>#REF!</v>
      </c>
      <c r="F30" s="42" t="e">
        <f t="shared" si="9"/>
        <v>#REF!</v>
      </c>
      <c r="G30" s="232" t="e">
        <f t="shared" si="4"/>
        <v>#REF!</v>
      </c>
      <c r="H30" s="239" t="e">
        <f t="shared" si="5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42" t="s">
        <v>46</v>
      </c>
      <c r="N30" s="241" t="s">
        <v>45</v>
      </c>
      <c r="O30" s="43" t="s">
        <v>46</v>
      </c>
      <c r="P30" s="1"/>
      <c r="Q30" s="44" t="e">
        <f t="shared" si="6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10"/>
        <v>#REF!</v>
      </c>
      <c r="C31" s="39"/>
      <c r="D31" s="41">
        <v>10</v>
      </c>
      <c r="E31" s="243" t="e">
        <f t="shared" si="11"/>
        <v>#REF!</v>
      </c>
      <c r="F31" s="42" t="e">
        <f t="shared" si="9"/>
        <v>#REF!</v>
      </c>
      <c r="G31" s="232" t="e">
        <f t="shared" si="4"/>
        <v>#REF!</v>
      </c>
      <c r="H31" s="239" t="e">
        <f t="shared" si="5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42" t="s">
        <v>46</v>
      </c>
      <c r="N31" s="241" t="s">
        <v>45</v>
      </c>
      <c r="O31" s="43" t="s">
        <v>46</v>
      </c>
      <c r="P31" s="1"/>
      <c r="Q31" s="44" t="e">
        <f t="shared" si="6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10"/>
        <v>#REF!</v>
      </c>
      <c r="C32" s="39"/>
      <c r="D32" s="41">
        <v>11</v>
      </c>
      <c r="E32" s="243" t="e">
        <f t="shared" si="11"/>
        <v>#REF!</v>
      </c>
      <c r="F32" s="42" t="e">
        <f t="shared" si="9"/>
        <v>#REF!</v>
      </c>
      <c r="G32" s="232" t="e">
        <f t="shared" si="4"/>
        <v>#REF!</v>
      </c>
      <c r="H32" s="239" t="e">
        <f t="shared" si="5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6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10"/>
        <v>#REF!</v>
      </c>
      <c r="C33" s="39"/>
      <c r="D33" s="41">
        <v>12</v>
      </c>
      <c r="E33" s="243" t="e">
        <f t="shared" si="11"/>
        <v>#REF!</v>
      </c>
      <c r="F33" s="42" t="e">
        <f t="shared" si="9"/>
        <v>#REF!</v>
      </c>
      <c r="G33" s="232" t="e">
        <f t="shared" si="4"/>
        <v>#REF!</v>
      </c>
      <c r="H33" s="239" t="e">
        <f t="shared" si="5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6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10"/>
        <v>#REF!</v>
      </c>
      <c r="C34" s="39"/>
      <c r="D34" s="41">
        <v>13</v>
      </c>
      <c r="E34" s="243" t="e">
        <f t="shared" si="11"/>
        <v>#REF!</v>
      </c>
      <c r="F34" s="42" t="e">
        <f t="shared" si="9"/>
        <v>#REF!</v>
      </c>
      <c r="G34" s="232" t="e">
        <f t="shared" si="4"/>
        <v>#REF!</v>
      </c>
      <c r="H34" s="239" t="e">
        <f t="shared" si="5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6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10"/>
        <v>#REF!</v>
      </c>
      <c r="C35" s="39"/>
      <c r="D35" s="41">
        <v>14</v>
      </c>
      <c r="E35" s="243" t="e">
        <f t="shared" si="11"/>
        <v>#REF!</v>
      </c>
      <c r="F35" s="42" t="e">
        <f t="shared" si="9"/>
        <v>#REF!</v>
      </c>
      <c r="G35" s="232" t="e">
        <f t="shared" si="4"/>
        <v>#REF!</v>
      </c>
      <c r="H35" s="239" t="e">
        <f t="shared" si="5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6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10"/>
        <v>#REF!</v>
      </c>
      <c r="C36" s="39"/>
      <c r="D36" s="41">
        <v>15</v>
      </c>
      <c r="E36" s="243" t="e">
        <f t="shared" si="11"/>
        <v>#REF!</v>
      </c>
      <c r="F36" s="42" t="e">
        <f t="shared" si="9"/>
        <v>#REF!</v>
      </c>
      <c r="G36" s="232" t="e">
        <f t="shared" si="4"/>
        <v>#REF!</v>
      </c>
      <c r="H36" s="239" t="e">
        <f t="shared" si="5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6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10"/>
        <v>#REF!</v>
      </c>
      <c r="C37" s="39"/>
      <c r="D37" s="41">
        <v>16</v>
      </c>
      <c r="E37" s="243" t="e">
        <f t="shared" si="11"/>
        <v>#REF!</v>
      </c>
      <c r="F37" s="42" t="e">
        <f t="shared" si="9"/>
        <v>#REF!</v>
      </c>
      <c r="G37" s="232" t="e">
        <f t="shared" si="4"/>
        <v>#REF!</v>
      </c>
      <c r="H37" s="239" t="e">
        <f t="shared" si="5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6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10"/>
        <v>#REF!</v>
      </c>
      <c r="C38" s="39"/>
      <c r="D38" s="41">
        <v>17</v>
      </c>
      <c r="E38" s="243" t="e">
        <f t="shared" si="11"/>
        <v>#REF!</v>
      </c>
      <c r="F38" s="42" t="e">
        <f t="shared" si="9"/>
        <v>#REF!</v>
      </c>
      <c r="G38" s="232" t="e">
        <f t="shared" si="4"/>
        <v>#REF!</v>
      </c>
      <c r="H38" s="239" t="e">
        <f t="shared" si="5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6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13841419</v>
      </c>
      <c r="L40" s="312">
        <f>SUM(M20:M38)</f>
        <v>0</v>
      </c>
      <c r="M40" s="376"/>
      <c r="N40" s="310">
        <f>SUM(O20:O38)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3" t="s">
        <v>58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>
        <v>44595</v>
      </c>
      <c r="K46" s="235">
        <v>996601.5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>
        <v>44595</v>
      </c>
      <c r="K47" s="235">
        <v>1481532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2478133.5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4"/>
      <c r="C75" s="1"/>
      <c r="D75" s="4"/>
      <c r="E75" s="1"/>
      <c r="F75" s="3"/>
      <c r="G75" s="3"/>
      <c r="H75" s="1"/>
      <c r="I75" s="4"/>
      <c r="J75" s="1"/>
      <c r="K75" s="1"/>
      <c r="L75" s="1"/>
      <c r="M75" s="1"/>
      <c r="N75" s="1"/>
      <c r="O75" s="84"/>
      <c r="P75" s="84"/>
      <c r="Q75" s="84"/>
      <c r="R75" s="84"/>
      <c r="S75" s="4"/>
      <c r="T75" s="4"/>
      <c r="U75" s="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customHeight="1">
      <c r="A76" s="1"/>
      <c r="B76" s="4"/>
      <c r="C76" s="1"/>
      <c r="D76" s="4"/>
      <c r="E76" s="1"/>
      <c r="F76" s="4"/>
      <c r="G76" s="4"/>
      <c r="H76" s="4"/>
      <c r="I76" s="4"/>
      <c r="J76" s="1"/>
      <c r="K76" s="1"/>
      <c r="L76" s="1"/>
      <c r="M76" s="1"/>
      <c r="N76" s="1"/>
      <c r="O76" s="84"/>
      <c r="P76" s="84"/>
      <c r="Q76" s="84"/>
      <c r="R76" s="84"/>
      <c r="S76" s="4"/>
      <c r="T76" s="4"/>
      <c r="U76" s="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customHeight="1">
      <c r="A77" s="1"/>
      <c r="B77" s="4"/>
      <c r="C77" s="1"/>
      <c r="D77" s="4"/>
      <c r="E77" s="1"/>
      <c r="F77" s="44"/>
      <c r="G77" s="44"/>
      <c r="H77" s="44"/>
      <c r="I77" s="4"/>
      <c r="J77" s="1"/>
      <c r="K77" s="1"/>
      <c r="L77" s="1"/>
      <c r="M77" s="1"/>
      <c r="N77" s="1"/>
      <c r="O77" s="84"/>
      <c r="P77" s="84"/>
      <c r="Q77" s="84"/>
      <c r="R77" s="84"/>
      <c r="S77" s="4"/>
      <c r="T77" s="4"/>
      <c r="U77" s="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customHeight="1">
      <c r="A78" s="1"/>
      <c r="B78" s="4"/>
      <c r="C78" s="1"/>
      <c r="D78" s="4"/>
      <c r="E78" s="1"/>
      <c r="F78" s="1"/>
      <c r="G78" s="1"/>
      <c r="H78" s="1"/>
      <c r="I78" s="4"/>
      <c r="J78" s="1"/>
      <c r="K78" s="1"/>
      <c r="L78" s="1"/>
      <c r="M78" s="1"/>
      <c r="N78" s="1"/>
      <c r="O78" s="84"/>
      <c r="P78" s="84"/>
      <c r="Q78" s="84"/>
      <c r="R78" s="84"/>
      <c r="S78" s="4"/>
      <c r="T78" s="4"/>
      <c r="U78" s="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customHeight="1">
      <c r="A79" s="1"/>
      <c r="B79" s="4"/>
      <c r="C79" s="1"/>
      <c r="D79" s="4"/>
      <c r="E79" s="1"/>
      <c r="F79" s="319"/>
      <c r="G79" s="356"/>
      <c r="H79" s="1"/>
      <c r="I79" s="4"/>
      <c r="J79" s="1"/>
      <c r="K79" s="1"/>
      <c r="L79" s="1"/>
      <c r="M79" s="1"/>
      <c r="N79" s="1"/>
      <c r="O79" s="84"/>
      <c r="P79" s="84"/>
      <c r="Q79" s="84"/>
      <c r="R79" s="84"/>
      <c r="S79" s="4"/>
      <c r="T79" s="4"/>
      <c r="U79" s="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customHeight="1">
      <c r="A80" s="1"/>
      <c r="B80" s="4"/>
      <c r="C80" s="1"/>
      <c r="D80" s="4"/>
      <c r="E80" s="1"/>
      <c r="F80" s="3"/>
      <c r="G80" s="3"/>
      <c r="H80" s="1"/>
      <c r="I80" s="4"/>
      <c r="J80" s="1"/>
      <c r="K80" s="1"/>
      <c r="L80" s="1"/>
      <c r="M80" s="1"/>
      <c r="N80" s="1"/>
      <c r="O80" s="84"/>
      <c r="P80" s="84"/>
      <c r="Q80" s="84"/>
      <c r="R80" s="84"/>
      <c r="S80" s="4"/>
      <c r="T80" s="4"/>
      <c r="U80" s="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customHeight="1">
      <c r="A81" s="1"/>
      <c r="B81" s="4"/>
      <c r="C81" s="1"/>
      <c r="D81" s="4"/>
      <c r="E81" s="4"/>
      <c r="F81" s="4"/>
      <c r="G81" s="4"/>
      <c r="H81" s="4"/>
      <c r="I81" s="4"/>
      <c r="J81" s="1"/>
      <c r="K81" s="1"/>
      <c r="L81" s="1"/>
      <c r="M81" s="1"/>
      <c r="N81" s="1"/>
      <c r="O81" s="84"/>
      <c r="P81" s="84"/>
      <c r="Q81" s="84"/>
      <c r="R81" s="84"/>
      <c r="S81" s="4"/>
      <c r="T81" s="4"/>
      <c r="U81" s="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9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L10:M10"/>
    <mergeCell ref="N10:O10"/>
    <mergeCell ref="J11:K11"/>
    <mergeCell ref="L11:M11"/>
    <mergeCell ref="N11:O11"/>
    <mergeCell ref="N73:O73"/>
    <mergeCell ref="N74:O7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73:M73"/>
    <mergeCell ref="L74:M74"/>
    <mergeCell ref="F79:G79"/>
    <mergeCell ref="L51:M51"/>
    <mergeCell ref="L52:M52"/>
    <mergeCell ref="L62:M62"/>
    <mergeCell ref="L63:M63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</mergeCells>
  <conditionalFormatting sqref="N7">
    <cfRule type="cellIs" dxfId="491" priority="1" operator="equal">
      <formula>"EN EJECUCION"</formula>
    </cfRule>
  </conditionalFormatting>
  <conditionalFormatting sqref="E22:E38 E41">
    <cfRule type="expression" dxfId="490" priority="2">
      <formula>IF(K22:K71="DEV",1,IF(K22:K71="no pago",1,0))</formula>
    </cfRule>
  </conditionalFormatting>
  <conditionalFormatting sqref="K20:K38">
    <cfRule type="cellIs" dxfId="489" priority="3" operator="lessThan">
      <formula>E20:E28</formula>
    </cfRule>
  </conditionalFormatting>
  <conditionalFormatting sqref="K46:K49">
    <cfRule type="cellIs" dxfId="488" priority="4" operator="lessThan">
      <formula>E46:E49</formula>
    </cfRule>
  </conditionalFormatting>
  <conditionalFormatting sqref="K57:K60">
    <cfRule type="cellIs" dxfId="487" priority="5" operator="lessThan">
      <formula>E57:E60</formula>
    </cfRule>
  </conditionalFormatting>
  <conditionalFormatting sqref="K68:K71">
    <cfRule type="cellIs" dxfId="486" priority="6" operator="lessThan">
      <formula>E68:E71</formula>
    </cfRule>
  </conditionalFormatting>
  <conditionalFormatting sqref="J20:O39 J46:O49 J57:O60 J68:O71">
    <cfRule type="cellIs" dxfId="485" priority="7" operator="between">
      <formula>TODAY()-20</formula>
      <formula>TODAY()</formula>
    </cfRule>
  </conditionalFormatting>
  <conditionalFormatting sqref="B1:D1 B2:E2">
    <cfRule type="expression" dxfId="484" priority="8">
      <formula>$E$1="NO"</formula>
    </cfRule>
  </conditionalFormatting>
  <conditionalFormatting sqref="B1:D1 B2:E2">
    <cfRule type="expression" dxfId="483" priority="9">
      <formula>$E$1="SI"</formula>
    </cfRule>
  </conditionalFormatting>
  <conditionalFormatting sqref="F1">
    <cfRule type="expression" dxfId="482" priority="10">
      <formula>$E$1="NO"</formula>
    </cfRule>
  </conditionalFormatting>
  <conditionalFormatting sqref="F1">
    <cfRule type="expression" dxfId="481" priority="11">
      <formula>$E$1="SI"</formula>
    </cfRule>
  </conditionalFormatting>
  <conditionalFormatting sqref="K20:K38 K46:K49 K57:K60 K68:K71 M20:M38 M46:M49 M57:M60 M68:M71 O20:O38 O46:O49 O57:O60 O68:O71">
    <cfRule type="cellIs" dxfId="480" priority="12" operator="equal">
      <formula>"DEV"</formula>
    </cfRule>
  </conditionalFormatting>
  <conditionalFormatting sqref="K20:K38 K46:K49 K57:K60 K68:K71 M20:M38 M46:M49 M57:M60 M68:M71 O20:O38 O46:O49 O57:O60 O68:O71">
    <cfRule type="cellIs" dxfId="479" priority="13" operator="equal">
      <formula>"no pago"</formula>
    </cfRule>
  </conditionalFormatting>
  <conditionalFormatting sqref="N7:O8">
    <cfRule type="cellIs" dxfId="478" priority="14" operator="equal">
      <formula>"PARALIZADA"</formula>
    </cfRule>
  </conditionalFormatting>
  <conditionalFormatting sqref="N7:O8">
    <cfRule type="cellIs" dxfId="477" priority="15" operator="equal">
      <formula>"EN EJECUCIÓN"</formula>
    </cfRule>
  </conditionalFormatting>
  <conditionalFormatting sqref="N7:O8">
    <cfRule type="cellIs" dxfId="476" priority="16" operator="equal">
      <formula>"TERMINADA"</formula>
    </cfRule>
  </conditionalFormatting>
  <conditionalFormatting sqref="N7:O8">
    <cfRule type="cellIs" dxfId="475" priority="17" operator="equal">
      <formula>"COMPLETADA"</formula>
    </cfRule>
  </conditionalFormatting>
  <hyperlinks>
    <hyperlink ref="O1" location="null!A1" display="&lt; VOLVER" xr:uid="{00000000-0004-0000-0200-000000000000}"/>
    <hyperlink ref="E3" location="ALTE BROWN!A1" display="ALTE BROWN Y DUPLEX DE CONGRESO" xr:uid="{00000000-0004-0000-0200-000001000000}"/>
    <hyperlink ref="Q3" location="null!A1" display="'BASE DATOS'!A1" xr:uid="{00000000-0004-0000-0200-000002000000}"/>
  </hyperlinks>
  <printOptions horizontalCentered="1"/>
  <pageMargins left="0.23622047244094491" right="0.19685039370078741" top="0.39370078740157483" bottom="0.31496062992125984" header="0" footer="0"/>
  <pageSetup paperSize="9" orientation="portrait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55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 t="e">
        <f>K40</f>
        <v>#REF!</v>
      </c>
      <c r="H13" s="22" t="e">
        <f>K51</f>
        <v>#REF!</v>
      </c>
      <c r="I13" s="203" t="e">
        <f>L40+N40+L51+N51</f>
        <v>#REF!</v>
      </c>
      <c r="J13" s="340" t="e">
        <f>K62</f>
        <v>#REF!</v>
      </c>
      <c r="K13" s="373"/>
      <c r="L13" s="335" t="e">
        <f>K73</f>
        <v>#REF!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52" t="e">
        <f>L11-L12</f>
        <v>#REF!</v>
      </c>
      <c r="M15" s="385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e">
        <f t="shared" ref="K20:K38" si="4">IF(E20=0,"sin certificar",IF(J20="-","no pago",IF(J20&gt;0,"DEV",0)))</f>
        <v>#REF!</v>
      </c>
      <c r="L20" s="220" t="s">
        <v>45</v>
      </c>
      <c r="M20" s="221" t="str">
        <f t="shared" ref="M20:M38" si="5">IF(G20=0,"sin certificar",IF(L20="-","no pago",IF(L20&gt;0,"DEV",0)))</f>
        <v>sin certificar</v>
      </c>
      <c r="N20" s="222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e">
        <f t="shared" si="4"/>
        <v>#REF!</v>
      </c>
      <c r="L21" s="228" t="s">
        <v>45</v>
      </c>
      <c r="M21" s="229" t="e">
        <f t="shared" si="5"/>
        <v>#REF!</v>
      </c>
      <c r="N21" s="230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3" t="e">
        <f t="shared" ref="E22:E38" si="8">HLOOKUP($O$3,#REF!,42+D22,0)</f>
        <v>#REF!</v>
      </c>
      <c r="F22" s="42" t="e">
        <f>IF(E22=0,0,$G$7)</f>
        <v>#REF!</v>
      </c>
      <c r="G22" s="232" t="e">
        <f t="shared" ref="G22:G38" si="9">HLOOKUP($O$3,#REF!,63+D22,0)</f>
        <v>#REF!</v>
      </c>
      <c r="H22" s="233" t="e">
        <f t="shared" ref="H22:H38" si="10">HLOOKUP($O$3,#REF!,84+D22,0)</f>
        <v>#REF!</v>
      </c>
      <c r="I22" s="234" t="e">
        <f t="shared" si="3"/>
        <v>#REF!</v>
      </c>
      <c r="J22" s="218" t="s">
        <v>45</v>
      </c>
      <c r="K22" s="235" t="e">
        <f t="shared" si="4"/>
        <v>#REF!</v>
      </c>
      <c r="L22" s="240" t="s">
        <v>45</v>
      </c>
      <c r="M22" s="237" t="e">
        <f t="shared" si="5"/>
        <v>#REF!</v>
      </c>
      <c r="N22" s="241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7"/>
        <v>#REF!</v>
      </c>
      <c r="C23" s="39"/>
      <c r="D23" s="41">
        <v>2</v>
      </c>
      <c r="E23" s="243" t="e">
        <f t="shared" si="8"/>
        <v>#REF!</v>
      </c>
      <c r="F23" s="42" t="e">
        <f t="shared" ref="F23:F38" si="14">EOMONTH(F22,1)</f>
        <v>#REF!</v>
      </c>
      <c r="G23" s="232" t="e">
        <f t="shared" si="9"/>
        <v>#REF!</v>
      </c>
      <c r="H23" s="233" t="e">
        <f t="shared" si="10"/>
        <v>#REF!</v>
      </c>
      <c r="I23" s="234" t="e">
        <f t="shared" si="3"/>
        <v>#REF!</v>
      </c>
      <c r="J23" s="218" t="s">
        <v>45</v>
      </c>
      <c r="K23" s="235" t="e">
        <f t="shared" si="4"/>
        <v>#REF!</v>
      </c>
      <c r="L23" s="240" t="s">
        <v>45</v>
      </c>
      <c r="M23" s="237" t="e">
        <f t="shared" si="5"/>
        <v>#REF!</v>
      </c>
      <c r="N23" s="241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7"/>
        <v>#REF!</v>
      </c>
      <c r="C24" s="39"/>
      <c r="D24" s="41">
        <v>3</v>
      </c>
      <c r="E24" s="243" t="e">
        <f t="shared" si="8"/>
        <v>#REF!</v>
      </c>
      <c r="F24" s="42" t="e">
        <f t="shared" si="14"/>
        <v>#REF!</v>
      </c>
      <c r="G24" s="232" t="e">
        <f t="shared" si="9"/>
        <v>#REF!</v>
      </c>
      <c r="H24" s="233" t="e">
        <f t="shared" si="10"/>
        <v>#REF!</v>
      </c>
      <c r="I24" s="234" t="e">
        <f t="shared" si="3"/>
        <v>#REF!</v>
      </c>
      <c r="J24" s="218" t="s">
        <v>45</v>
      </c>
      <c r="K24" s="235" t="e">
        <f t="shared" si="4"/>
        <v>#REF!</v>
      </c>
      <c r="L24" s="240" t="s">
        <v>45</v>
      </c>
      <c r="M24" s="237" t="e">
        <f t="shared" si="5"/>
        <v>#REF!</v>
      </c>
      <c r="N24" s="241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7"/>
        <v>#REF!</v>
      </c>
      <c r="C25" s="39"/>
      <c r="D25" s="41">
        <v>4</v>
      </c>
      <c r="E25" s="243" t="e">
        <f t="shared" si="8"/>
        <v>#REF!</v>
      </c>
      <c r="F25" s="42" t="e">
        <f t="shared" si="14"/>
        <v>#REF!</v>
      </c>
      <c r="G25" s="232" t="e">
        <f t="shared" si="9"/>
        <v>#REF!</v>
      </c>
      <c r="H25" s="233" t="e">
        <f t="shared" si="10"/>
        <v>#REF!</v>
      </c>
      <c r="I25" s="234" t="e">
        <f t="shared" si="3"/>
        <v>#REF!</v>
      </c>
      <c r="J25" s="218" t="s">
        <v>45</v>
      </c>
      <c r="K25" s="235" t="e">
        <f t="shared" si="4"/>
        <v>#REF!</v>
      </c>
      <c r="L25" s="240" t="s">
        <v>45</v>
      </c>
      <c r="M25" s="237" t="e">
        <f t="shared" si="5"/>
        <v>#REF!</v>
      </c>
      <c r="N25" s="241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7"/>
        <v>#REF!</v>
      </c>
      <c r="C26" s="39"/>
      <c r="D26" s="41">
        <v>5</v>
      </c>
      <c r="E26" s="243" t="e">
        <f t="shared" si="8"/>
        <v>#REF!</v>
      </c>
      <c r="F26" s="42" t="e">
        <f t="shared" si="14"/>
        <v>#REF!</v>
      </c>
      <c r="G26" s="232" t="e">
        <f t="shared" si="9"/>
        <v>#REF!</v>
      </c>
      <c r="H26" s="233" t="e">
        <f t="shared" si="10"/>
        <v>#REF!</v>
      </c>
      <c r="I26" s="234" t="e">
        <f t="shared" si="3"/>
        <v>#REF!</v>
      </c>
      <c r="J26" s="218" t="s">
        <v>45</v>
      </c>
      <c r="K26" s="235" t="e">
        <f t="shared" si="4"/>
        <v>#REF!</v>
      </c>
      <c r="L26" s="240" t="s">
        <v>45</v>
      </c>
      <c r="M26" s="237" t="e">
        <f t="shared" si="5"/>
        <v>#REF!</v>
      </c>
      <c r="N26" s="241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7"/>
        <v>#REF!</v>
      </c>
      <c r="C27" s="39"/>
      <c r="D27" s="41">
        <v>6</v>
      </c>
      <c r="E27" s="243" t="e">
        <f t="shared" si="8"/>
        <v>#REF!</v>
      </c>
      <c r="F27" s="42" t="e">
        <f t="shared" si="14"/>
        <v>#REF!</v>
      </c>
      <c r="G27" s="232" t="e">
        <f t="shared" si="9"/>
        <v>#REF!</v>
      </c>
      <c r="H27" s="239" t="e">
        <f t="shared" si="10"/>
        <v>#REF!</v>
      </c>
      <c r="I27" s="234" t="e">
        <f t="shared" si="3"/>
        <v>#REF!</v>
      </c>
      <c r="J27" s="218" t="s">
        <v>45</v>
      </c>
      <c r="K27" s="235" t="e">
        <f t="shared" si="4"/>
        <v>#REF!</v>
      </c>
      <c r="L27" s="240" t="s">
        <v>45</v>
      </c>
      <c r="M27" s="237" t="e">
        <f t="shared" si="5"/>
        <v>#REF!</v>
      </c>
      <c r="N27" s="241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7"/>
        <v>#REF!</v>
      </c>
      <c r="C28" s="39"/>
      <c r="D28" s="41">
        <v>7</v>
      </c>
      <c r="E28" s="243" t="e">
        <f t="shared" si="8"/>
        <v>#REF!</v>
      </c>
      <c r="F28" s="42" t="e">
        <f t="shared" si="14"/>
        <v>#REF!</v>
      </c>
      <c r="G28" s="232" t="e">
        <f t="shared" si="9"/>
        <v>#REF!</v>
      </c>
      <c r="H28" s="239" t="e">
        <f t="shared" si="10"/>
        <v>#REF!</v>
      </c>
      <c r="I28" s="234" t="e">
        <f t="shared" si="3"/>
        <v>#REF!</v>
      </c>
      <c r="J28" s="218" t="s">
        <v>45</v>
      </c>
      <c r="K28" s="235" t="e">
        <f t="shared" si="4"/>
        <v>#REF!</v>
      </c>
      <c r="L28" s="240" t="s">
        <v>45</v>
      </c>
      <c r="M28" s="237" t="e">
        <f t="shared" si="5"/>
        <v>#REF!</v>
      </c>
      <c r="N28" s="241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7"/>
        <v>#REF!</v>
      </c>
      <c r="C29" s="39"/>
      <c r="D29" s="41">
        <v>8</v>
      </c>
      <c r="E29" s="243" t="e">
        <f t="shared" si="8"/>
        <v>#REF!</v>
      </c>
      <c r="F29" s="42" t="e">
        <f t="shared" si="14"/>
        <v>#REF!</v>
      </c>
      <c r="G29" s="232" t="e">
        <f t="shared" si="9"/>
        <v>#REF!</v>
      </c>
      <c r="H29" s="239" t="e">
        <f t="shared" si="10"/>
        <v>#REF!</v>
      </c>
      <c r="I29" s="234" t="e">
        <f t="shared" si="3"/>
        <v>#REF!</v>
      </c>
      <c r="J29" s="218" t="s">
        <v>45</v>
      </c>
      <c r="K29" s="235" t="e">
        <f t="shared" si="4"/>
        <v>#REF!</v>
      </c>
      <c r="L29" s="240" t="s">
        <v>45</v>
      </c>
      <c r="M29" s="237" t="e">
        <f t="shared" si="5"/>
        <v>#REF!</v>
      </c>
      <c r="N29" s="241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7"/>
        <v>#REF!</v>
      </c>
      <c r="C30" s="39"/>
      <c r="D30" s="41">
        <v>9</v>
      </c>
      <c r="E30" s="243" t="e">
        <f t="shared" si="8"/>
        <v>#REF!</v>
      </c>
      <c r="F30" s="42" t="e">
        <f t="shared" si="14"/>
        <v>#REF!</v>
      </c>
      <c r="G30" s="232" t="e">
        <f t="shared" si="9"/>
        <v>#REF!</v>
      </c>
      <c r="H30" s="239" t="e">
        <f t="shared" si="10"/>
        <v>#REF!</v>
      </c>
      <c r="I30" s="234" t="e">
        <f t="shared" si="3"/>
        <v>#REF!</v>
      </c>
      <c r="J30" s="218" t="s">
        <v>45</v>
      </c>
      <c r="K30" s="235" t="e">
        <f t="shared" si="4"/>
        <v>#REF!</v>
      </c>
      <c r="L30" s="240" t="s">
        <v>45</v>
      </c>
      <c r="M30" s="237" t="e">
        <f t="shared" si="5"/>
        <v>#REF!</v>
      </c>
      <c r="N30" s="241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7"/>
        <v>#REF!</v>
      </c>
      <c r="C31" s="39"/>
      <c r="D31" s="41">
        <v>10</v>
      </c>
      <c r="E31" s="243" t="e">
        <f t="shared" si="8"/>
        <v>#REF!</v>
      </c>
      <c r="F31" s="42" t="e">
        <f t="shared" si="14"/>
        <v>#REF!</v>
      </c>
      <c r="G31" s="232" t="e">
        <f t="shared" si="9"/>
        <v>#REF!</v>
      </c>
      <c r="H31" s="239" t="e">
        <f t="shared" si="10"/>
        <v>#REF!</v>
      </c>
      <c r="I31" s="234" t="e">
        <f t="shared" si="3"/>
        <v>#REF!</v>
      </c>
      <c r="J31" s="218" t="s">
        <v>45</v>
      </c>
      <c r="K31" s="235" t="e">
        <f t="shared" si="4"/>
        <v>#REF!</v>
      </c>
      <c r="L31" s="240" t="s">
        <v>45</v>
      </c>
      <c r="M31" s="237" t="e">
        <f t="shared" si="5"/>
        <v>#REF!</v>
      </c>
      <c r="N31" s="241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7"/>
        <v>#REF!</v>
      </c>
      <c r="C32" s="39"/>
      <c r="D32" s="41">
        <v>11</v>
      </c>
      <c r="E32" s="243" t="e">
        <f t="shared" si="8"/>
        <v>#REF!</v>
      </c>
      <c r="F32" s="42" t="e">
        <f t="shared" si="14"/>
        <v>#REF!</v>
      </c>
      <c r="G32" s="232" t="e">
        <f t="shared" si="9"/>
        <v>#REF!</v>
      </c>
      <c r="H32" s="239" t="e">
        <f t="shared" si="10"/>
        <v>#REF!</v>
      </c>
      <c r="I32" s="234" t="e">
        <f t="shared" si="3"/>
        <v>#REF!</v>
      </c>
      <c r="J32" s="218" t="s">
        <v>45</v>
      </c>
      <c r="K32" s="235" t="e">
        <f t="shared" si="4"/>
        <v>#REF!</v>
      </c>
      <c r="L32" s="240" t="s">
        <v>45</v>
      </c>
      <c r="M32" s="237" t="e">
        <f t="shared" si="5"/>
        <v>#REF!</v>
      </c>
      <c r="N32" s="241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7"/>
        <v>#REF!</v>
      </c>
      <c r="C33" s="39"/>
      <c r="D33" s="41">
        <v>12</v>
      </c>
      <c r="E33" s="243" t="e">
        <f t="shared" si="8"/>
        <v>#REF!</v>
      </c>
      <c r="F33" s="42" t="e">
        <f t="shared" si="14"/>
        <v>#REF!</v>
      </c>
      <c r="G33" s="232" t="e">
        <f t="shared" si="9"/>
        <v>#REF!</v>
      </c>
      <c r="H33" s="239" t="e">
        <f t="shared" si="10"/>
        <v>#REF!</v>
      </c>
      <c r="I33" s="234" t="e">
        <f t="shared" si="3"/>
        <v>#REF!</v>
      </c>
      <c r="J33" s="218" t="s">
        <v>45</v>
      </c>
      <c r="K33" s="235" t="e">
        <f t="shared" si="4"/>
        <v>#REF!</v>
      </c>
      <c r="L33" s="240" t="s">
        <v>45</v>
      </c>
      <c r="M33" s="237" t="e">
        <f t="shared" si="5"/>
        <v>#REF!</v>
      </c>
      <c r="N33" s="241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7"/>
        <v>#REF!</v>
      </c>
      <c r="C34" s="39"/>
      <c r="D34" s="41">
        <v>13</v>
      </c>
      <c r="E34" s="243" t="e">
        <f t="shared" si="8"/>
        <v>#REF!</v>
      </c>
      <c r="F34" s="42" t="e">
        <f t="shared" si="14"/>
        <v>#REF!</v>
      </c>
      <c r="G34" s="232" t="e">
        <f t="shared" si="9"/>
        <v>#REF!</v>
      </c>
      <c r="H34" s="239" t="e">
        <f t="shared" si="10"/>
        <v>#REF!</v>
      </c>
      <c r="I34" s="234" t="e">
        <f t="shared" si="3"/>
        <v>#REF!</v>
      </c>
      <c r="J34" s="218" t="s">
        <v>45</v>
      </c>
      <c r="K34" s="235" t="e">
        <f t="shared" si="4"/>
        <v>#REF!</v>
      </c>
      <c r="L34" s="240" t="s">
        <v>45</v>
      </c>
      <c r="M34" s="237" t="e">
        <f t="shared" si="5"/>
        <v>#REF!</v>
      </c>
      <c r="N34" s="241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7"/>
        <v>#REF!</v>
      </c>
      <c r="C35" s="39"/>
      <c r="D35" s="41">
        <v>14</v>
      </c>
      <c r="E35" s="243" t="e">
        <f t="shared" si="8"/>
        <v>#REF!</v>
      </c>
      <c r="F35" s="42" t="e">
        <f t="shared" si="14"/>
        <v>#REF!</v>
      </c>
      <c r="G35" s="232" t="e">
        <f t="shared" si="9"/>
        <v>#REF!</v>
      </c>
      <c r="H35" s="239" t="e">
        <f t="shared" si="10"/>
        <v>#REF!</v>
      </c>
      <c r="I35" s="234" t="e">
        <f t="shared" si="3"/>
        <v>#REF!</v>
      </c>
      <c r="J35" s="218" t="s">
        <v>45</v>
      </c>
      <c r="K35" s="235" t="e">
        <f t="shared" si="4"/>
        <v>#REF!</v>
      </c>
      <c r="L35" s="240" t="s">
        <v>45</v>
      </c>
      <c r="M35" s="237" t="e">
        <f t="shared" si="5"/>
        <v>#REF!</v>
      </c>
      <c r="N35" s="241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7"/>
        <v>#REF!</v>
      </c>
      <c r="C36" s="39"/>
      <c r="D36" s="41">
        <v>15</v>
      </c>
      <c r="E36" s="243" t="e">
        <f t="shared" si="8"/>
        <v>#REF!</v>
      </c>
      <c r="F36" s="42" t="e">
        <f t="shared" si="14"/>
        <v>#REF!</v>
      </c>
      <c r="G36" s="232" t="e">
        <f t="shared" si="9"/>
        <v>#REF!</v>
      </c>
      <c r="H36" s="239" t="e">
        <f t="shared" si="10"/>
        <v>#REF!</v>
      </c>
      <c r="I36" s="234" t="e">
        <f t="shared" si="3"/>
        <v>#REF!</v>
      </c>
      <c r="J36" s="218" t="s">
        <v>45</v>
      </c>
      <c r="K36" s="235" t="e">
        <f t="shared" si="4"/>
        <v>#REF!</v>
      </c>
      <c r="L36" s="240" t="s">
        <v>45</v>
      </c>
      <c r="M36" s="237" t="e">
        <f t="shared" si="5"/>
        <v>#REF!</v>
      </c>
      <c r="N36" s="241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7"/>
        <v>#REF!</v>
      </c>
      <c r="C37" s="39"/>
      <c r="D37" s="41">
        <v>16</v>
      </c>
      <c r="E37" s="231" t="e">
        <f t="shared" si="8"/>
        <v>#REF!</v>
      </c>
      <c r="F37" s="42" t="e">
        <f t="shared" si="14"/>
        <v>#REF!</v>
      </c>
      <c r="G37" s="232" t="e">
        <f t="shared" si="9"/>
        <v>#REF!</v>
      </c>
      <c r="H37" s="239" t="e">
        <f t="shared" si="10"/>
        <v>#REF!</v>
      </c>
      <c r="I37" s="234" t="e">
        <f t="shared" si="3"/>
        <v>#REF!</v>
      </c>
      <c r="J37" s="218" t="s">
        <v>45</v>
      </c>
      <c r="K37" s="235" t="e">
        <f t="shared" si="4"/>
        <v>#REF!</v>
      </c>
      <c r="L37" s="240" t="s">
        <v>45</v>
      </c>
      <c r="M37" s="237" t="e">
        <f t="shared" si="5"/>
        <v>#REF!</v>
      </c>
      <c r="N37" s="241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7"/>
        <v>#REF!</v>
      </c>
      <c r="C38" s="39"/>
      <c r="D38" s="41">
        <v>17</v>
      </c>
      <c r="E38" s="243" t="e">
        <f t="shared" si="8"/>
        <v>#REF!</v>
      </c>
      <c r="F38" s="42" t="e">
        <f t="shared" si="14"/>
        <v>#REF!</v>
      </c>
      <c r="G38" s="232" t="e">
        <f t="shared" si="9"/>
        <v>#REF!</v>
      </c>
      <c r="H38" s="239" t="e">
        <f t="shared" si="10"/>
        <v>#REF!</v>
      </c>
      <c r="I38" s="234" t="e">
        <f t="shared" si="3"/>
        <v>#REF!</v>
      </c>
      <c r="J38" s="218" t="s">
        <v>45</v>
      </c>
      <c r="K38" s="235" t="e">
        <f t="shared" si="4"/>
        <v>#REF!</v>
      </c>
      <c r="L38" s="240" t="s">
        <v>45</v>
      </c>
      <c r="M38" s="237" t="e">
        <f t="shared" si="5"/>
        <v>#REF!</v>
      </c>
      <c r="N38" s="241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1"/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12" t="e">
        <f>SUM(M22:M38)</f>
        <v>#REF!</v>
      </c>
      <c r="M40" s="376"/>
      <c r="N40" s="310" t="e">
        <f>SUM(O22:O38)</f>
        <v>#REF!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7">HLOOKUP($O$3,#REF!,116+D46,0)</f>
        <v>#REF!</v>
      </c>
      <c r="F46" s="68"/>
      <c r="G46" s="232" t="e">
        <f t="shared" ref="G46:G49" si="18">HLOOKUP($O$3,#REF!,121+D46,0)</f>
        <v>#REF!</v>
      </c>
      <c r="H46" s="239" t="e">
        <f t="shared" ref="H46:H49" si="19">HLOOKUP($O$3,#REF!,126+D46,0)</f>
        <v>#REF!</v>
      </c>
      <c r="I46" s="234" t="e">
        <f t="shared" ref="I46:I49" si="20">G46+H46</f>
        <v>#REF!</v>
      </c>
      <c r="J46" s="218" t="s">
        <v>45</v>
      </c>
      <c r="K46" s="235" t="e">
        <f t="shared" ref="K46:K49" si="21">IF(E46=0,"sin certificar",IF(J46="-","no pago",IF(J46&gt;0,"DEV",0)))</f>
        <v>#REF!</v>
      </c>
      <c r="L46" s="236" t="s">
        <v>45</v>
      </c>
      <c r="M46" s="237" t="e">
        <f t="shared" ref="M46:M49" si="22">IF(G46=0,"sin certificar",IF(L46="-","no pago",IF(L46&gt;0,"DEV",0)))</f>
        <v>#REF!</v>
      </c>
      <c r="N46" s="238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7"/>
        <v>#REF!</v>
      </c>
      <c r="F47" s="69"/>
      <c r="G47" s="232" t="e">
        <f t="shared" si="18"/>
        <v>#REF!</v>
      </c>
      <c r="H47" s="239" t="e">
        <f t="shared" si="19"/>
        <v>#REF!</v>
      </c>
      <c r="I47" s="234" t="e">
        <f t="shared" si="20"/>
        <v>#REF!</v>
      </c>
      <c r="J47" s="218" t="s">
        <v>45</v>
      </c>
      <c r="K47" s="235" t="e">
        <f t="shared" si="21"/>
        <v>#REF!</v>
      </c>
      <c r="L47" s="236" t="s">
        <v>45</v>
      </c>
      <c r="M47" s="237" t="e">
        <f t="shared" si="22"/>
        <v>#REF!</v>
      </c>
      <c r="N47" s="238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7"/>
        <v>#REF!</v>
      </c>
      <c r="F48" s="69"/>
      <c r="G48" s="232" t="e">
        <f t="shared" si="18"/>
        <v>#REF!</v>
      </c>
      <c r="H48" s="239" t="e">
        <f t="shared" si="19"/>
        <v>#REF!</v>
      </c>
      <c r="I48" s="234" t="e">
        <f t="shared" si="20"/>
        <v>#REF!</v>
      </c>
      <c r="J48" s="218" t="s">
        <v>45</v>
      </c>
      <c r="K48" s="235" t="e">
        <f t="shared" si="21"/>
        <v>#REF!</v>
      </c>
      <c r="L48" s="236" t="s">
        <v>45</v>
      </c>
      <c r="M48" s="237" t="e">
        <f t="shared" si="22"/>
        <v>#REF!</v>
      </c>
      <c r="N48" s="238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7"/>
        <v>#REF!</v>
      </c>
      <c r="F49" s="69"/>
      <c r="G49" s="232" t="e">
        <f t="shared" si="18"/>
        <v>#REF!</v>
      </c>
      <c r="H49" s="239" t="e">
        <f t="shared" si="19"/>
        <v>#REF!</v>
      </c>
      <c r="I49" s="234" t="e">
        <f t="shared" si="20"/>
        <v>#REF!</v>
      </c>
      <c r="J49" s="218" t="s">
        <v>45</v>
      </c>
      <c r="K49" s="235" t="e">
        <f t="shared" si="21"/>
        <v>#REF!</v>
      </c>
      <c r="L49" s="236" t="s">
        <v>45</v>
      </c>
      <c r="M49" s="237" t="e">
        <f t="shared" si="22"/>
        <v>#REF!</v>
      </c>
      <c r="N49" s="238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12" t="e">
        <f>SUM(M46:M50)</f>
        <v>#REF!</v>
      </c>
      <c r="M51" s="376"/>
      <c r="N51" s="310" t="e">
        <f>SUM(O46:O50)</f>
        <v>#REF!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5">HLOOKUP($O$3,#REF!,131+D57,0)</f>
        <v>#REF!</v>
      </c>
      <c r="F57" s="69"/>
      <c r="G57" s="232"/>
      <c r="H57" s="239"/>
      <c r="I57" s="234"/>
      <c r="J57" s="218" t="s">
        <v>45</v>
      </c>
      <c r="K57" s="235" t="e">
        <f t="shared" ref="K57:K60" si="26">IF(E57=0,"sin certificar",IF(J57="-","no pago",IF(J57&gt;0,"DEV",0)))</f>
        <v>#REF!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5"/>
        <v>#REF!</v>
      </c>
      <c r="F58" s="69"/>
      <c r="G58" s="232"/>
      <c r="H58" s="239"/>
      <c r="I58" s="234"/>
      <c r="J58" s="218" t="s">
        <v>45</v>
      </c>
      <c r="K58" s="235" t="e">
        <f t="shared" si="26"/>
        <v>#REF!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5"/>
        <v>#REF!</v>
      </c>
      <c r="F59" s="69"/>
      <c r="G59" s="232"/>
      <c r="H59" s="239"/>
      <c r="I59" s="234"/>
      <c r="J59" s="218" t="s">
        <v>45</v>
      </c>
      <c r="K59" s="235" t="e">
        <f t="shared" si="26"/>
        <v>#REF!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5"/>
        <v>#REF!</v>
      </c>
      <c r="F60" s="69"/>
      <c r="G60" s="232"/>
      <c r="H60" s="239"/>
      <c r="I60" s="234"/>
      <c r="J60" s="218" t="s">
        <v>45</v>
      </c>
      <c r="K60" s="235" t="e">
        <f t="shared" si="26"/>
        <v>#REF!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7">HLOOKUP($O$3,#REF!,137+D68,0)</f>
        <v>#REF!</v>
      </c>
      <c r="F68" s="69"/>
      <c r="G68" s="232"/>
      <c r="H68" s="239"/>
      <c r="I68" s="234"/>
      <c r="J68" s="218" t="s">
        <v>45</v>
      </c>
      <c r="K68" s="235" t="e">
        <f t="shared" ref="K68:K71" si="28">IF(E68=0,"sin certificar",IF(J68="-","no pago",IF(J68&gt;0,"DEV",0)))</f>
        <v>#REF!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7"/>
        <v>#REF!</v>
      </c>
      <c r="F69" s="69"/>
      <c r="G69" s="232"/>
      <c r="H69" s="239"/>
      <c r="I69" s="234"/>
      <c r="J69" s="218" t="s">
        <v>45</v>
      </c>
      <c r="K69" s="235" t="e">
        <f t="shared" si="28"/>
        <v>#REF!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7"/>
        <v>#REF!</v>
      </c>
      <c r="F70" s="69"/>
      <c r="G70" s="232"/>
      <c r="H70" s="239"/>
      <c r="I70" s="234"/>
      <c r="J70" s="218" t="s">
        <v>45</v>
      </c>
      <c r="K70" s="235" t="e">
        <f t="shared" si="28"/>
        <v>#REF!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7"/>
        <v>#REF!</v>
      </c>
      <c r="F71" s="69"/>
      <c r="G71" s="232"/>
      <c r="H71" s="239"/>
      <c r="I71" s="234"/>
      <c r="J71" s="218" t="s">
        <v>45</v>
      </c>
      <c r="K71" s="235" t="e">
        <f t="shared" si="28"/>
        <v>#REF!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</mergeCells>
  <conditionalFormatting sqref="K20:K38">
    <cfRule type="cellIs" dxfId="15" priority="1" operator="lessThan">
      <formula>E20:E28</formula>
    </cfRule>
  </conditionalFormatting>
  <conditionalFormatting sqref="K46:K49 K68:K71">
    <cfRule type="cellIs" dxfId="14" priority="2" operator="lessThan">
      <formula>E46:E49</formula>
    </cfRule>
  </conditionalFormatting>
  <conditionalFormatting sqref="K57:K60">
    <cfRule type="cellIs" dxfId="13" priority="3" operator="lessThan">
      <formula>E57:E60</formula>
    </cfRule>
  </conditionalFormatting>
  <conditionalFormatting sqref="K68:K71">
    <cfRule type="cellIs" dxfId="12" priority="4" operator="lessThan">
      <formula>E68:E71</formula>
    </cfRule>
  </conditionalFormatting>
  <conditionalFormatting sqref="J20:O39 J46:O49 J57:O60 J68:O71">
    <cfRule type="cellIs" dxfId="11" priority="5" operator="between">
      <formula>TODAY()-20</formula>
      <formula>TODAY()</formula>
    </cfRule>
  </conditionalFormatting>
  <conditionalFormatting sqref="K20:K38 K46:K49 K57:K60 K68:K71 M20:M38 M46:M49 M57:M60 M68:M71 O20:O38 O46:O49 O57:O60 O68:O71">
    <cfRule type="cellIs" dxfId="10" priority="6" operator="equal">
      <formula>"DEV"</formula>
    </cfRule>
  </conditionalFormatting>
  <conditionalFormatting sqref="K20:K38 K46:K49 K57:K60 K68:K71 M20:M38 M46:M49 M57:M60 M68:M71 O20:O38 O46:O49 O57:O60 O68:O71">
    <cfRule type="cellIs" dxfId="9" priority="7" operator="equal">
      <formula>"no pago"</formula>
    </cfRule>
  </conditionalFormatting>
  <conditionalFormatting sqref="B1:D1 B2:E2">
    <cfRule type="expression" dxfId="8" priority="8">
      <formula>$E$1="NO"</formula>
    </cfRule>
  </conditionalFormatting>
  <conditionalFormatting sqref="B1:D1 B2:E2">
    <cfRule type="expression" dxfId="7" priority="9">
      <formula>$E$1="SI"</formula>
    </cfRule>
  </conditionalFormatting>
  <conditionalFormatting sqref="F1">
    <cfRule type="expression" dxfId="6" priority="10">
      <formula>$E$1="NO"</formula>
    </cfRule>
  </conditionalFormatting>
  <conditionalFormatting sqref="F1">
    <cfRule type="expression" dxfId="5" priority="11">
      <formula>$E$1="SI"</formula>
    </cfRule>
  </conditionalFormatting>
  <conditionalFormatting sqref="N7:O8">
    <cfRule type="cellIs" dxfId="4" priority="12" operator="equal">
      <formula>"PARALIZADA"</formula>
    </cfRule>
  </conditionalFormatting>
  <conditionalFormatting sqref="N7:O8">
    <cfRule type="cellIs" dxfId="3" priority="13" operator="equal">
      <formula>"EN EJECUCION"</formula>
    </cfRule>
  </conditionalFormatting>
  <conditionalFormatting sqref="N7:O8">
    <cfRule type="cellIs" dxfId="2" priority="14" operator="equal">
      <formula>"TERMINADA"</formula>
    </cfRule>
  </conditionalFormatting>
  <conditionalFormatting sqref="N7:O8">
    <cfRule type="cellIs" dxfId="1" priority="15" operator="equal">
      <formula>"COMPLETADA"</formula>
    </cfRule>
  </conditionalFormatting>
  <hyperlinks>
    <hyperlink ref="O1" location="null!A1" display="&lt; VOLVER" xr:uid="{00000000-0004-0000-1D00-000000000000}"/>
    <hyperlink ref="Q3" location="null!A1" display="'BASE DATOS'!A1" xr:uid="{00000000-0004-0000-1D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U1000"/>
  <sheetViews>
    <sheetView tabSelected="1" workbookViewId="0">
      <selection activeCell="N12" sqref="M12:N19"/>
    </sheetView>
  </sheetViews>
  <sheetFormatPr defaultColWidth="14.42578125" defaultRowHeight="15" customHeight="1"/>
  <cols>
    <col min="1" max="1" width="50" customWidth="1"/>
    <col min="2" max="2" width="38.85546875" customWidth="1"/>
    <col min="3" max="3" width="13.5703125" customWidth="1"/>
    <col min="4" max="4" width="9.42578125" customWidth="1"/>
    <col min="5" max="5" width="14.85546875" customWidth="1"/>
    <col min="6" max="6" width="5" customWidth="1"/>
    <col min="7" max="7" width="16.85546875" style="183" customWidth="1"/>
    <col min="8" max="8" width="13.140625" customWidth="1"/>
    <col min="9" max="9" width="15.5703125" style="188" customWidth="1"/>
    <col min="10" max="10" width="9.140625" customWidth="1"/>
    <col min="11" max="11" width="10.7109375" customWidth="1"/>
    <col min="12" max="13" width="14.42578125" customWidth="1"/>
  </cols>
  <sheetData>
    <row r="1" spans="1:21" ht="30.75">
      <c r="A1" s="270" t="s">
        <v>125</v>
      </c>
      <c r="B1" s="271" t="s">
        <v>126</v>
      </c>
      <c r="C1" s="272" t="s">
        <v>127</v>
      </c>
      <c r="D1" s="272" t="s">
        <v>128</v>
      </c>
      <c r="E1" s="271" t="s">
        <v>129</v>
      </c>
      <c r="F1" s="272" t="s">
        <v>38</v>
      </c>
      <c r="G1" s="271" t="s">
        <v>130</v>
      </c>
      <c r="H1" s="271" t="s">
        <v>131</v>
      </c>
      <c r="I1" s="122" t="s">
        <v>132</v>
      </c>
      <c r="J1" s="272" t="s">
        <v>133</v>
      </c>
      <c r="K1" s="272" t="s">
        <v>134</v>
      </c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0.75">
      <c r="A2" s="273" t="s">
        <v>135</v>
      </c>
      <c r="B2" s="274" t="s">
        <v>136</v>
      </c>
      <c r="C2" s="209" t="s">
        <v>15</v>
      </c>
      <c r="D2" s="275" t="s">
        <v>137</v>
      </c>
      <c r="E2" s="276" t="s">
        <v>138</v>
      </c>
      <c r="F2" s="276">
        <v>1245</v>
      </c>
      <c r="G2" s="277">
        <v>17691525</v>
      </c>
      <c r="H2" s="278">
        <v>30</v>
      </c>
      <c r="I2" s="184" t="s">
        <v>139</v>
      </c>
      <c r="J2" s="279">
        <v>44265</v>
      </c>
      <c r="K2" s="279">
        <v>44295</v>
      </c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60.75">
      <c r="A3" s="123" t="s">
        <v>3</v>
      </c>
      <c r="B3" s="124" t="s">
        <v>140</v>
      </c>
      <c r="C3" s="1" t="s">
        <v>15</v>
      </c>
      <c r="D3" s="57" t="s">
        <v>141</v>
      </c>
      <c r="E3" s="3" t="s">
        <v>138</v>
      </c>
      <c r="F3" s="3">
        <v>1258</v>
      </c>
      <c r="G3" s="125" t="s">
        <v>142</v>
      </c>
      <c r="H3" s="126">
        <f>180+35</f>
        <v>215</v>
      </c>
      <c r="I3" s="185" t="s">
        <v>139</v>
      </c>
      <c r="J3" s="127">
        <v>44237</v>
      </c>
      <c r="K3" s="127">
        <v>44452</v>
      </c>
      <c r="L3" s="57"/>
      <c r="M3" s="1"/>
      <c r="N3" s="1"/>
      <c r="O3" s="1"/>
      <c r="P3" s="1"/>
      <c r="Q3" s="1"/>
      <c r="R3" s="1"/>
      <c r="S3" s="1"/>
      <c r="T3" s="1"/>
      <c r="U3" s="1"/>
    </row>
    <row r="4" spans="1:21" ht="30.75">
      <c r="A4" s="129" t="s">
        <v>143</v>
      </c>
      <c r="B4" s="280" t="s">
        <v>144</v>
      </c>
      <c r="C4" s="281" t="s">
        <v>15</v>
      </c>
      <c r="D4" s="282" t="s">
        <v>145</v>
      </c>
      <c r="E4" s="283" t="s">
        <v>138</v>
      </c>
      <c r="F4" s="283">
        <v>1259</v>
      </c>
      <c r="G4" s="284" t="s">
        <v>146</v>
      </c>
      <c r="H4" s="285">
        <f>60+30</f>
        <v>90</v>
      </c>
      <c r="I4" s="186" t="s">
        <v>147</v>
      </c>
      <c r="J4" s="286">
        <v>44237</v>
      </c>
      <c r="K4" s="286">
        <v>44327</v>
      </c>
      <c r="L4" s="57"/>
      <c r="M4" s="1"/>
      <c r="N4" s="1"/>
      <c r="O4" s="1"/>
      <c r="P4" s="1"/>
      <c r="Q4" s="1"/>
      <c r="R4" s="1"/>
      <c r="S4" s="1"/>
      <c r="T4" s="1"/>
      <c r="U4" s="1"/>
    </row>
    <row r="5" spans="1:21" ht="45.75">
      <c r="A5" s="123" t="s">
        <v>148</v>
      </c>
      <c r="B5" s="124" t="s">
        <v>149</v>
      </c>
      <c r="C5" s="1" t="s">
        <v>15</v>
      </c>
      <c r="D5" s="57" t="s">
        <v>150</v>
      </c>
      <c r="E5" s="3" t="s">
        <v>138</v>
      </c>
      <c r="F5" s="3">
        <v>1022</v>
      </c>
      <c r="G5" s="125">
        <v>57800000</v>
      </c>
      <c r="H5" s="126">
        <v>120</v>
      </c>
      <c r="I5" s="185" t="s">
        <v>147</v>
      </c>
      <c r="J5" s="127">
        <v>44292</v>
      </c>
      <c r="K5" s="127">
        <v>44560</v>
      </c>
      <c r="L5" s="57"/>
      <c r="M5" s="1"/>
      <c r="N5" s="1"/>
      <c r="O5" s="1"/>
      <c r="P5" s="1"/>
      <c r="Q5" s="1"/>
      <c r="R5" s="1"/>
      <c r="S5" s="1"/>
      <c r="T5" s="1"/>
      <c r="U5" s="1"/>
    </row>
    <row r="6" spans="1:21" ht="60.75">
      <c r="A6" s="123" t="s">
        <v>151</v>
      </c>
      <c r="B6" s="124" t="s">
        <v>152</v>
      </c>
      <c r="C6" s="1" t="s">
        <v>15</v>
      </c>
      <c r="D6" s="57" t="s">
        <v>153</v>
      </c>
      <c r="E6" s="3" t="s">
        <v>138</v>
      </c>
      <c r="F6" s="3">
        <v>1030</v>
      </c>
      <c r="G6" s="125" t="s">
        <v>154</v>
      </c>
      <c r="H6" s="126">
        <v>120</v>
      </c>
      <c r="I6" s="185" t="s">
        <v>155</v>
      </c>
      <c r="J6" s="127">
        <v>44348</v>
      </c>
      <c r="K6" s="127">
        <v>44483</v>
      </c>
      <c r="L6" s="57"/>
      <c r="M6" s="1"/>
      <c r="N6" s="1"/>
      <c r="O6" s="1"/>
      <c r="P6" s="1"/>
      <c r="Q6" s="1"/>
      <c r="R6" s="1"/>
      <c r="S6" s="1"/>
      <c r="T6" s="1"/>
      <c r="U6" s="1"/>
    </row>
    <row r="7" spans="1:21" ht="45.75">
      <c r="A7" s="123" t="s">
        <v>121</v>
      </c>
      <c r="B7" s="124" t="s">
        <v>156</v>
      </c>
      <c r="C7" s="1" t="s">
        <v>15</v>
      </c>
      <c r="D7" s="57" t="s">
        <v>157</v>
      </c>
      <c r="E7" s="3" t="s">
        <v>138</v>
      </c>
      <c r="F7" s="3">
        <v>1040</v>
      </c>
      <c r="G7" s="125">
        <v>6445048.1699999999</v>
      </c>
      <c r="H7" s="126">
        <v>60</v>
      </c>
      <c r="I7" s="185" t="s">
        <v>139</v>
      </c>
      <c r="J7" s="127">
        <v>44351</v>
      </c>
      <c r="K7" s="127">
        <v>44411</v>
      </c>
      <c r="L7" s="57"/>
      <c r="M7" s="1"/>
      <c r="N7" s="1"/>
      <c r="O7" s="1"/>
      <c r="P7" s="1"/>
      <c r="Q7" s="1"/>
      <c r="R7" s="1"/>
      <c r="S7" s="1"/>
      <c r="T7" s="1"/>
      <c r="U7" s="1"/>
    </row>
    <row r="8" spans="1:21" ht="30.75">
      <c r="A8" s="123" t="s">
        <v>158</v>
      </c>
      <c r="B8" s="124" t="s">
        <v>159</v>
      </c>
      <c r="C8" s="1" t="s">
        <v>15</v>
      </c>
      <c r="D8" s="57" t="s">
        <v>160</v>
      </c>
      <c r="E8" s="3" t="s">
        <v>138</v>
      </c>
      <c r="F8" s="3">
        <v>1039</v>
      </c>
      <c r="G8" s="125">
        <v>9490507.7400000002</v>
      </c>
      <c r="H8" s="126">
        <v>45</v>
      </c>
      <c r="I8" s="185" t="s">
        <v>139</v>
      </c>
      <c r="J8" s="127">
        <v>44333</v>
      </c>
      <c r="K8" s="127">
        <v>44378</v>
      </c>
      <c r="L8" s="57"/>
      <c r="M8" s="1"/>
      <c r="N8" s="1"/>
      <c r="O8" s="1"/>
      <c r="P8" s="1"/>
      <c r="Q8" s="1"/>
      <c r="R8" s="1"/>
      <c r="S8" s="1"/>
      <c r="T8" s="1"/>
      <c r="U8" s="1"/>
    </row>
    <row r="9" spans="1:21" ht="30.75">
      <c r="A9" s="123" t="s">
        <v>161</v>
      </c>
      <c r="B9" s="124" t="s">
        <v>162</v>
      </c>
      <c r="C9" s="1" t="s">
        <v>15</v>
      </c>
      <c r="D9" s="57" t="s">
        <v>163</v>
      </c>
      <c r="E9" s="3" t="s">
        <v>138</v>
      </c>
      <c r="F9" s="3">
        <v>1079</v>
      </c>
      <c r="G9" s="125" t="s">
        <v>164</v>
      </c>
      <c r="H9" s="130">
        <v>120</v>
      </c>
      <c r="I9" s="187" t="s">
        <v>139</v>
      </c>
      <c r="J9" s="127">
        <v>44363</v>
      </c>
      <c r="K9" s="127">
        <v>44483</v>
      </c>
      <c r="L9" s="57"/>
      <c r="M9" s="1"/>
      <c r="N9" s="1"/>
      <c r="O9" s="1"/>
      <c r="P9" s="1"/>
      <c r="Q9" s="1"/>
      <c r="R9" s="1"/>
      <c r="S9" s="1"/>
      <c r="T9" s="1"/>
      <c r="U9" s="1"/>
    </row>
    <row r="10" spans="1:21" ht="60.75">
      <c r="A10" s="123" t="s">
        <v>165</v>
      </c>
      <c r="B10" s="124" t="s">
        <v>166</v>
      </c>
      <c r="C10" s="1" t="s">
        <v>15</v>
      </c>
      <c r="D10" s="57" t="s">
        <v>167</v>
      </c>
      <c r="E10" s="3" t="s">
        <v>138</v>
      </c>
      <c r="F10" s="3">
        <v>1078</v>
      </c>
      <c r="G10" s="125" t="s">
        <v>168</v>
      </c>
      <c r="H10" s="126">
        <v>150</v>
      </c>
      <c r="I10" s="185" t="s">
        <v>139</v>
      </c>
      <c r="J10" s="127">
        <v>44348</v>
      </c>
      <c r="K10" s="127">
        <v>44528</v>
      </c>
      <c r="L10" s="57"/>
      <c r="M10" s="1"/>
      <c r="N10" s="1"/>
      <c r="O10" s="1"/>
      <c r="P10" s="1"/>
      <c r="Q10" s="1"/>
      <c r="R10" s="1"/>
      <c r="S10" s="1"/>
      <c r="T10" s="1"/>
      <c r="U10" s="1"/>
    </row>
    <row r="11" spans="1:21" ht="30.75">
      <c r="A11" s="123" t="s">
        <v>169</v>
      </c>
      <c r="B11" s="131" t="s">
        <v>170</v>
      </c>
      <c r="C11" s="92" t="s">
        <v>15</v>
      </c>
      <c r="D11" s="57" t="s">
        <v>171</v>
      </c>
      <c r="E11" s="3" t="s">
        <v>138</v>
      </c>
      <c r="F11" s="3">
        <v>1084</v>
      </c>
      <c r="G11" s="125" t="s">
        <v>172</v>
      </c>
      <c r="H11" s="126">
        <v>90</v>
      </c>
      <c r="I11" s="185" t="s">
        <v>155</v>
      </c>
      <c r="J11" s="127">
        <v>44348</v>
      </c>
      <c r="K11" s="127">
        <v>44470</v>
      </c>
      <c r="L11" s="57"/>
      <c r="M11" s="1"/>
      <c r="N11" s="1"/>
      <c r="O11" s="1"/>
      <c r="P11" s="1"/>
      <c r="Q11" s="1"/>
      <c r="R11" s="1"/>
      <c r="S11" s="1"/>
      <c r="T11" s="1"/>
      <c r="U11" s="1"/>
    </row>
    <row r="12" spans="1:21" ht="45.75">
      <c r="A12" s="123" t="s">
        <v>66</v>
      </c>
      <c r="B12" s="124" t="s">
        <v>173</v>
      </c>
      <c r="C12" s="1" t="s">
        <v>15</v>
      </c>
      <c r="D12" s="57" t="s">
        <v>174</v>
      </c>
      <c r="E12" s="3" t="s">
        <v>138</v>
      </c>
      <c r="F12" s="3">
        <v>1083</v>
      </c>
      <c r="G12" s="125" t="s">
        <v>175</v>
      </c>
      <c r="H12" s="126">
        <v>120</v>
      </c>
      <c r="I12" s="185" t="s">
        <v>176</v>
      </c>
      <c r="J12" s="127">
        <v>44378</v>
      </c>
      <c r="K12" s="127">
        <v>44548</v>
      </c>
      <c r="L12" s="57"/>
      <c r="M12" s="1"/>
      <c r="N12" s="1"/>
      <c r="O12" s="1"/>
      <c r="P12" s="1"/>
      <c r="Q12" s="1"/>
      <c r="R12" s="1"/>
      <c r="S12" s="1"/>
      <c r="T12" s="1"/>
      <c r="U12" s="1"/>
    </row>
    <row r="13" spans="1:21" ht="45.75">
      <c r="A13" s="123" t="s">
        <v>68</v>
      </c>
      <c r="B13" s="124" t="s">
        <v>177</v>
      </c>
      <c r="C13" s="1" t="s">
        <v>15</v>
      </c>
      <c r="D13" s="57" t="s">
        <v>178</v>
      </c>
      <c r="E13" s="3" t="s">
        <v>138</v>
      </c>
      <c r="F13" s="3">
        <v>1085</v>
      </c>
      <c r="G13" s="125" t="s">
        <v>179</v>
      </c>
      <c r="H13" s="126">
        <v>120</v>
      </c>
      <c r="I13" s="185" t="s">
        <v>180</v>
      </c>
      <c r="J13" s="127">
        <v>44363</v>
      </c>
      <c r="K13" s="127">
        <v>44483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0.75">
      <c r="A14" s="123" t="s">
        <v>123</v>
      </c>
      <c r="B14" s="124" t="s">
        <v>181</v>
      </c>
      <c r="C14" s="1" t="s">
        <v>15</v>
      </c>
      <c r="D14" s="57" t="s">
        <v>182</v>
      </c>
      <c r="E14" s="3" t="s">
        <v>138</v>
      </c>
      <c r="F14" s="3">
        <v>1086</v>
      </c>
      <c r="G14" s="125">
        <v>20916483.77</v>
      </c>
      <c r="H14" s="126">
        <v>120</v>
      </c>
      <c r="I14" s="185" t="s">
        <v>139</v>
      </c>
      <c r="J14" s="127">
        <v>44361</v>
      </c>
      <c r="K14" s="127">
        <v>44481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45.75">
      <c r="A15" s="123" t="s">
        <v>183</v>
      </c>
      <c r="B15" s="124" t="s">
        <v>184</v>
      </c>
      <c r="C15" s="1" t="s">
        <v>15</v>
      </c>
      <c r="D15" s="57" t="s">
        <v>185</v>
      </c>
      <c r="E15" s="3" t="s">
        <v>138</v>
      </c>
      <c r="F15" s="3">
        <v>1104</v>
      </c>
      <c r="G15" s="125">
        <v>3420000</v>
      </c>
      <c r="H15" s="126">
        <v>90</v>
      </c>
      <c r="I15" s="185" t="s">
        <v>147</v>
      </c>
      <c r="J15" s="127">
        <v>44349</v>
      </c>
      <c r="K15" s="127">
        <v>44440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60.75">
      <c r="A16" s="123" t="s">
        <v>186</v>
      </c>
      <c r="B16" s="124" t="s">
        <v>187</v>
      </c>
      <c r="C16" s="1" t="s">
        <v>188</v>
      </c>
      <c r="D16" s="57" t="s">
        <v>189</v>
      </c>
      <c r="E16" s="3" t="s">
        <v>138</v>
      </c>
      <c r="F16" s="3">
        <v>1170</v>
      </c>
      <c r="G16" s="125" t="s">
        <v>190</v>
      </c>
      <c r="H16" s="126">
        <f>180+120</f>
        <v>300</v>
      </c>
      <c r="I16" s="185" t="s">
        <v>191</v>
      </c>
      <c r="J16" s="127">
        <v>44501</v>
      </c>
      <c r="K16" s="127">
        <v>44681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45.75">
      <c r="A17" s="123" t="s">
        <v>192</v>
      </c>
      <c r="B17" s="124" t="s">
        <v>193</v>
      </c>
      <c r="C17" s="1" t="s">
        <v>15</v>
      </c>
      <c r="D17" s="57" t="s">
        <v>194</v>
      </c>
      <c r="E17" s="3" t="s">
        <v>138</v>
      </c>
      <c r="F17" s="3">
        <v>1196</v>
      </c>
      <c r="G17" s="125">
        <v>6874520</v>
      </c>
      <c r="H17" s="126">
        <v>60</v>
      </c>
      <c r="I17" s="185" t="s">
        <v>195</v>
      </c>
      <c r="J17" s="127">
        <v>44512</v>
      </c>
      <c r="K17" s="127">
        <v>44572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60.75">
      <c r="A18" s="123" t="s">
        <v>196</v>
      </c>
      <c r="B18" s="124" t="s">
        <v>197</v>
      </c>
      <c r="C18" s="1" t="s">
        <v>15</v>
      </c>
      <c r="D18" s="57" t="s">
        <v>198</v>
      </c>
      <c r="E18" s="3" t="s">
        <v>138</v>
      </c>
      <c r="F18" s="3">
        <v>1235</v>
      </c>
      <c r="G18" s="125">
        <v>14700000</v>
      </c>
      <c r="H18" s="126">
        <v>90</v>
      </c>
      <c r="I18" s="185" t="s">
        <v>155</v>
      </c>
      <c r="J18" s="127">
        <v>44608</v>
      </c>
      <c r="K18" s="127">
        <v>44698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45.75">
      <c r="A19" s="123" t="s">
        <v>199</v>
      </c>
      <c r="B19" s="124" t="s">
        <v>200</v>
      </c>
      <c r="C19" s="1" t="s">
        <v>15</v>
      </c>
      <c r="D19" s="57" t="s">
        <v>201</v>
      </c>
      <c r="E19" s="3" t="s">
        <v>138</v>
      </c>
      <c r="F19" s="3">
        <v>1234</v>
      </c>
      <c r="G19" s="125">
        <v>23009710</v>
      </c>
      <c r="H19" s="126">
        <v>90</v>
      </c>
      <c r="I19" s="185" t="s">
        <v>147</v>
      </c>
      <c r="J19" s="127">
        <v>44621</v>
      </c>
      <c r="K19" s="127">
        <v>44711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45.75">
      <c r="A20" s="123" t="s">
        <v>202</v>
      </c>
      <c r="B20" s="124" t="s">
        <v>203</v>
      </c>
      <c r="C20" s="1" t="s">
        <v>15</v>
      </c>
      <c r="D20" s="57" t="s">
        <v>204</v>
      </c>
      <c r="E20" s="3" t="s">
        <v>138</v>
      </c>
      <c r="F20" s="3">
        <v>1242</v>
      </c>
      <c r="G20" s="125">
        <v>3225000</v>
      </c>
      <c r="H20" s="126">
        <v>90</v>
      </c>
      <c r="I20" s="185" t="s">
        <v>147</v>
      </c>
      <c r="J20" s="127">
        <v>44575</v>
      </c>
      <c r="K20" s="127">
        <v>44665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0.75">
      <c r="A21" s="123" t="s">
        <v>205</v>
      </c>
      <c r="B21" s="124" t="s">
        <v>206</v>
      </c>
      <c r="C21" s="1" t="s">
        <v>15</v>
      </c>
      <c r="D21" s="57" t="s">
        <v>207</v>
      </c>
      <c r="E21" s="3" t="s">
        <v>138</v>
      </c>
      <c r="F21" s="3">
        <v>1255</v>
      </c>
      <c r="G21" s="125" t="s">
        <v>208</v>
      </c>
      <c r="H21" s="126">
        <v>60</v>
      </c>
      <c r="I21" s="185" t="s">
        <v>139</v>
      </c>
      <c r="J21" s="127">
        <v>44622</v>
      </c>
      <c r="K21" s="127">
        <v>44682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45.75" thickBot="1">
      <c r="A22" s="129" t="s">
        <v>209</v>
      </c>
      <c r="B22" s="280" t="s">
        <v>210</v>
      </c>
      <c r="C22" s="281" t="s">
        <v>188</v>
      </c>
      <c r="D22" s="282" t="s">
        <v>211</v>
      </c>
      <c r="E22" s="283" t="s">
        <v>138</v>
      </c>
      <c r="F22" s="283">
        <v>1001</v>
      </c>
      <c r="G22" s="284" t="s">
        <v>212</v>
      </c>
      <c r="H22" s="285">
        <v>300</v>
      </c>
      <c r="I22" s="186" t="s">
        <v>155</v>
      </c>
      <c r="J22" s="286">
        <v>44634</v>
      </c>
      <c r="K22" s="286" t="s">
        <v>45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45.75">
      <c r="A23" s="123" t="s">
        <v>213</v>
      </c>
      <c r="B23" s="124" t="s">
        <v>214</v>
      </c>
      <c r="C23" s="1" t="s">
        <v>188</v>
      </c>
      <c r="D23" s="57" t="s">
        <v>215</v>
      </c>
      <c r="E23" s="3" t="s">
        <v>138</v>
      </c>
      <c r="F23" s="3">
        <v>1046</v>
      </c>
      <c r="G23" s="125" t="s">
        <v>216</v>
      </c>
      <c r="H23" s="126">
        <v>120</v>
      </c>
      <c r="I23" s="185" t="s">
        <v>147</v>
      </c>
      <c r="J23" s="287">
        <v>44683</v>
      </c>
      <c r="K23" s="279" t="s">
        <v>45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ht="30.75">
      <c r="A24" s="123" t="s">
        <v>217</v>
      </c>
      <c r="B24" s="124" t="s">
        <v>218</v>
      </c>
      <c r="C24" s="1" t="s">
        <v>219</v>
      </c>
      <c r="D24" s="57" t="s">
        <v>220</v>
      </c>
      <c r="E24" s="3" t="s">
        <v>221</v>
      </c>
      <c r="F24" s="3">
        <v>2001</v>
      </c>
      <c r="G24" s="125" t="s">
        <v>222</v>
      </c>
      <c r="H24" s="126">
        <v>60</v>
      </c>
      <c r="I24" s="185" t="s">
        <v>223</v>
      </c>
      <c r="J24" s="132" t="s">
        <v>45</v>
      </c>
      <c r="K24" s="127" t="s">
        <v>45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ht="45.75" thickBot="1">
      <c r="A25" s="129" t="s">
        <v>224</v>
      </c>
      <c r="B25" s="280" t="s">
        <v>225</v>
      </c>
      <c r="C25" s="281" t="s">
        <v>219</v>
      </c>
      <c r="D25" s="282" t="s">
        <v>226</v>
      </c>
      <c r="E25" s="283" t="s">
        <v>138</v>
      </c>
      <c r="F25" s="283">
        <v>1124</v>
      </c>
      <c r="G25" s="284" t="s">
        <v>227</v>
      </c>
      <c r="H25" s="285">
        <v>60</v>
      </c>
      <c r="I25" s="186" t="s">
        <v>176</v>
      </c>
      <c r="J25" s="133" t="s">
        <v>45</v>
      </c>
      <c r="K25" s="286" t="s">
        <v>45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15.75" customHeight="1" thickBot="1">
      <c r="A26" s="128"/>
      <c r="B26" s="124"/>
      <c r="C26" s="1"/>
      <c r="D26" s="1"/>
      <c r="E26" s="3"/>
      <c r="F26" s="3"/>
      <c r="G26" s="57"/>
      <c r="H26" s="57"/>
      <c r="I26" s="3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ht="15.75" customHeight="1">
      <c r="A27" s="1"/>
      <c r="B27" s="124"/>
      <c r="C27" s="1"/>
      <c r="D27" s="1"/>
      <c r="E27" s="3"/>
      <c r="F27" s="3"/>
      <c r="G27" s="57"/>
      <c r="H27" s="57"/>
      <c r="I27" s="3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15.75" customHeight="1">
      <c r="A28" s="1"/>
      <c r="B28" s="124"/>
      <c r="C28" s="1"/>
      <c r="D28" s="1"/>
      <c r="E28" s="3"/>
      <c r="F28" s="3"/>
      <c r="G28" s="57"/>
      <c r="H28" s="57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15.75" customHeight="1">
      <c r="A29" s="1"/>
      <c r="B29" s="124"/>
      <c r="C29" s="1"/>
      <c r="D29" s="1"/>
      <c r="E29" s="3"/>
      <c r="F29" s="3"/>
      <c r="G29" s="57"/>
      <c r="H29" s="57"/>
      <c r="I29" s="3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.75" customHeight="1">
      <c r="A30" s="1"/>
      <c r="B30" s="124"/>
      <c r="C30" s="1"/>
      <c r="D30" s="1"/>
      <c r="E30" s="3"/>
      <c r="F30" s="3"/>
      <c r="G30" s="57"/>
      <c r="H30" s="57"/>
      <c r="I30" s="3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.75" customHeight="1">
      <c r="A31" s="1"/>
      <c r="B31" s="124"/>
      <c r="C31" s="1"/>
      <c r="D31" s="1"/>
      <c r="E31" s="3"/>
      <c r="F31" s="3"/>
      <c r="G31" s="57"/>
      <c r="H31" s="57"/>
      <c r="I31" s="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.75" customHeight="1">
      <c r="A32" s="1"/>
      <c r="B32" s="124"/>
      <c r="C32" s="1"/>
      <c r="D32" s="1"/>
      <c r="E32" s="3"/>
      <c r="F32" s="3"/>
      <c r="G32" s="57"/>
      <c r="H32" s="57"/>
      <c r="I32" s="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.75" customHeight="1">
      <c r="A33" s="1"/>
      <c r="B33" s="124"/>
      <c r="C33" s="1"/>
      <c r="D33" s="1"/>
      <c r="E33" s="3"/>
      <c r="F33" s="3"/>
      <c r="G33" s="57"/>
      <c r="H33" s="57"/>
      <c r="I33" s="3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.75" customHeight="1">
      <c r="A34" s="1"/>
      <c r="B34" s="124"/>
      <c r="C34" s="1"/>
      <c r="D34" s="1"/>
      <c r="E34" s="3"/>
      <c r="F34" s="3"/>
      <c r="G34" s="57"/>
      <c r="H34" s="57"/>
      <c r="I34" s="3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.75" customHeight="1">
      <c r="A35" s="1"/>
      <c r="B35" s="124"/>
      <c r="C35" s="1"/>
      <c r="D35" s="1"/>
      <c r="E35" s="3"/>
      <c r="F35" s="3"/>
      <c r="G35" s="57"/>
      <c r="H35" s="57"/>
      <c r="I35" s="3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.75" customHeight="1">
      <c r="A36" s="1"/>
      <c r="B36" s="124"/>
      <c r="C36" s="1"/>
      <c r="D36" s="1"/>
      <c r="E36" s="3"/>
      <c r="F36" s="3"/>
      <c r="G36" s="57"/>
      <c r="H36" s="57"/>
      <c r="I36" s="3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.75" customHeight="1">
      <c r="A37" s="1"/>
      <c r="B37" s="124"/>
      <c r="C37" s="1"/>
      <c r="D37" s="1"/>
      <c r="E37" s="3"/>
      <c r="F37" s="3"/>
      <c r="G37" s="57"/>
      <c r="H37" s="57"/>
      <c r="I37" s="3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.75" customHeight="1">
      <c r="A38" s="1"/>
      <c r="B38" s="124"/>
      <c r="C38" s="1"/>
      <c r="D38" s="1"/>
      <c r="E38" s="3"/>
      <c r="F38" s="3"/>
      <c r="G38" s="57"/>
      <c r="H38" s="57"/>
      <c r="I38" s="3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.75" customHeight="1">
      <c r="A39" s="1"/>
      <c r="B39" s="124"/>
      <c r="C39" s="1"/>
      <c r="D39" s="1"/>
      <c r="E39" s="3"/>
      <c r="F39" s="3"/>
      <c r="G39" s="57"/>
      <c r="H39" s="57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.75" customHeight="1">
      <c r="A40" s="1"/>
      <c r="B40" s="124"/>
      <c r="C40" s="1"/>
      <c r="D40" s="1"/>
      <c r="E40" s="3"/>
      <c r="F40" s="3"/>
      <c r="G40" s="57"/>
      <c r="H40" s="57"/>
      <c r="I40" s="3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.75" customHeight="1">
      <c r="A41" s="1"/>
      <c r="B41" s="124"/>
      <c r="C41" s="1"/>
      <c r="D41" s="1"/>
      <c r="E41" s="3"/>
      <c r="F41" s="3"/>
      <c r="G41" s="57"/>
      <c r="H41" s="57"/>
      <c r="I41" s="3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.75" customHeight="1">
      <c r="A42" s="1"/>
      <c r="B42" s="124"/>
      <c r="C42" s="1"/>
      <c r="D42" s="1"/>
      <c r="E42" s="3"/>
      <c r="F42" s="3"/>
      <c r="G42" s="57"/>
      <c r="H42" s="57"/>
      <c r="I42" s="3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.75" customHeight="1">
      <c r="A43" s="1"/>
      <c r="B43" s="124"/>
      <c r="C43" s="1"/>
      <c r="D43" s="1"/>
      <c r="E43" s="3"/>
      <c r="F43" s="3"/>
      <c r="G43" s="57"/>
      <c r="H43" s="57"/>
      <c r="I43" s="3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.75" customHeight="1">
      <c r="A44" s="1"/>
      <c r="B44" s="124"/>
      <c r="C44" s="1"/>
      <c r="D44" s="1"/>
      <c r="E44" s="3"/>
      <c r="F44" s="3"/>
      <c r="G44" s="57"/>
      <c r="H44" s="57"/>
      <c r="I44" s="3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.75" customHeight="1">
      <c r="A45" s="1"/>
      <c r="B45" s="124"/>
      <c r="C45" s="1"/>
      <c r="D45" s="1"/>
      <c r="E45" s="3"/>
      <c r="F45" s="3"/>
      <c r="G45" s="57"/>
      <c r="H45" s="57"/>
      <c r="I45" s="3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.75" customHeight="1">
      <c r="A46" s="1"/>
      <c r="B46" s="124"/>
      <c r="C46" s="1"/>
      <c r="D46" s="1"/>
      <c r="E46" s="3"/>
      <c r="F46" s="3"/>
      <c r="G46" s="57"/>
      <c r="H46" s="57"/>
      <c r="I46" s="3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.75" customHeight="1">
      <c r="A47" s="1"/>
      <c r="B47" s="124"/>
      <c r="C47" s="1"/>
      <c r="D47" s="1"/>
      <c r="E47" s="3"/>
      <c r="F47" s="3"/>
      <c r="G47" s="57"/>
      <c r="H47" s="57"/>
      <c r="I47" s="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.75" customHeight="1">
      <c r="A48" s="1"/>
      <c r="B48" s="124"/>
      <c r="C48" s="1"/>
      <c r="D48" s="1"/>
      <c r="E48" s="3"/>
      <c r="F48" s="3"/>
      <c r="G48" s="57"/>
      <c r="H48" s="57"/>
      <c r="I48" s="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.75" customHeight="1">
      <c r="A49" s="1"/>
      <c r="B49" s="124"/>
      <c r="C49" s="1"/>
      <c r="D49" s="1"/>
      <c r="E49" s="3"/>
      <c r="F49" s="3"/>
      <c r="G49" s="57"/>
      <c r="H49" s="57"/>
      <c r="I49" s="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.75" customHeight="1">
      <c r="A50" s="1"/>
      <c r="B50" s="124"/>
      <c r="C50" s="1"/>
      <c r="D50" s="1"/>
      <c r="E50" s="3"/>
      <c r="F50" s="3"/>
      <c r="G50" s="57"/>
      <c r="H50" s="57"/>
      <c r="I50" s="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.75" customHeight="1">
      <c r="A51" s="1"/>
      <c r="B51" s="124"/>
      <c r="C51" s="1"/>
      <c r="D51" s="1"/>
      <c r="E51" s="3"/>
      <c r="F51" s="3"/>
      <c r="G51" s="57"/>
      <c r="H51" s="57"/>
      <c r="I51" s="3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.75" customHeight="1">
      <c r="A52" s="1"/>
      <c r="B52" s="124"/>
      <c r="C52" s="1"/>
      <c r="D52" s="1"/>
      <c r="E52" s="3"/>
      <c r="F52" s="3"/>
      <c r="G52" s="57"/>
      <c r="H52" s="57"/>
      <c r="I52" s="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.75" customHeight="1">
      <c r="A53" s="1"/>
      <c r="B53" s="124"/>
      <c r="C53" s="1"/>
      <c r="D53" s="1"/>
      <c r="E53" s="3"/>
      <c r="F53" s="3"/>
      <c r="G53" s="57"/>
      <c r="H53" s="57"/>
      <c r="I53" s="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.75" customHeight="1">
      <c r="A54" s="1"/>
      <c r="B54" s="124"/>
      <c r="C54" s="1"/>
      <c r="D54" s="1"/>
      <c r="E54" s="3"/>
      <c r="F54" s="3"/>
      <c r="G54" s="57"/>
      <c r="H54" s="57"/>
      <c r="I54" s="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.75" customHeight="1">
      <c r="A55" s="1"/>
      <c r="B55" s="124"/>
      <c r="C55" s="1"/>
      <c r="D55" s="1"/>
      <c r="E55" s="3"/>
      <c r="F55" s="3"/>
      <c r="G55" s="57"/>
      <c r="H55" s="57"/>
      <c r="I55" s="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.75" customHeight="1">
      <c r="A56" s="1"/>
      <c r="B56" s="124"/>
      <c r="C56" s="1"/>
      <c r="D56" s="1"/>
      <c r="E56" s="3"/>
      <c r="F56" s="3"/>
      <c r="G56" s="57"/>
      <c r="H56" s="57"/>
      <c r="I56" s="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.75" customHeight="1">
      <c r="A57" s="1"/>
      <c r="B57" s="124"/>
      <c r="C57" s="1"/>
      <c r="D57" s="1"/>
      <c r="E57" s="3"/>
      <c r="F57" s="3"/>
      <c r="G57" s="57"/>
      <c r="H57" s="57"/>
      <c r="I57" s="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.75" customHeight="1">
      <c r="A58" s="1"/>
      <c r="B58" s="124"/>
      <c r="C58" s="1"/>
      <c r="D58" s="1"/>
      <c r="E58" s="3"/>
      <c r="F58" s="3"/>
      <c r="G58" s="57"/>
      <c r="H58" s="57"/>
      <c r="I58" s="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.75" customHeight="1">
      <c r="A59" s="1"/>
      <c r="B59" s="124"/>
      <c r="C59" s="1"/>
      <c r="D59" s="1"/>
      <c r="E59" s="3"/>
      <c r="F59" s="3"/>
      <c r="G59" s="57"/>
      <c r="H59" s="57"/>
      <c r="I59" s="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.75" customHeight="1">
      <c r="A60" s="1"/>
      <c r="B60" s="124"/>
      <c r="C60" s="1"/>
      <c r="D60" s="1"/>
      <c r="E60" s="3"/>
      <c r="F60" s="3"/>
      <c r="G60" s="57"/>
      <c r="H60" s="57"/>
      <c r="I60" s="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.75" customHeight="1">
      <c r="A61" s="1"/>
      <c r="B61" s="124"/>
      <c r="C61" s="1"/>
      <c r="D61" s="1"/>
      <c r="E61" s="3"/>
      <c r="F61" s="3"/>
      <c r="G61" s="57"/>
      <c r="H61" s="57"/>
      <c r="I61" s="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.75" customHeight="1">
      <c r="A62" s="1"/>
      <c r="B62" s="124"/>
      <c r="C62" s="1"/>
      <c r="D62" s="1"/>
      <c r="E62" s="3"/>
      <c r="F62" s="3"/>
      <c r="G62" s="57"/>
      <c r="H62" s="57"/>
      <c r="I62" s="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.75" customHeight="1">
      <c r="A63" s="1"/>
      <c r="B63" s="124"/>
      <c r="C63" s="1"/>
      <c r="D63" s="1"/>
      <c r="E63" s="3"/>
      <c r="F63" s="3"/>
      <c r="G63" s="57"/>
      <c r="H63" s="57"/>
      <c r="I63" s="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.75" customHeight="1">
      <c r="A64" s="1"/>
      <c r="B64" s="124"/>
      <c r="C64" s="1"/>
      <c r="D64" s="1"/>
      <c r="E64" s="3"/>
      <c r="F64" s="3"/>
      <c r="G64" s="57"/>
      <c r="H64" s="57"/>
      <c r="I64" s="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.75" customHeight="1">
      <c r="A65" s="1"/>
      <c r="B65" s="124"/>
      <c r="C65" s="1"/>
      <c r="D65" s="1"/>
      <c r="E65" s="3"/>
      <c r="F65" s="3"/>
      <c r="G65" s="57"/>
      <c r="H65" s="57"/>
      <c r="I65" s="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.75" customHeight="1">
      <c r="A66" s="1"/>
      <c r="B66" s="124"/>
      <c r="C66" s="1"/>
      <c r="D66" s="1"/>
      <c r="E66" s="3"/>
      <c r="F66" s="3"/>
      <c r="G66" s="57"/>
      <c r="H66" s="57"/>
      <c r="I66" s="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.75" customHeight="1">
      <c r="A67" s="1"/>
      <c r="B67" s="124"/>
      <c r="C67" s="1"/>
      <c r="D67" s="1"/>
      <c r="E67" s="3"/>
      <c r="F67" s="3"/>
      <c r="G67" s="57"/>
      <c r="H67" s="57"/>
      <c r="I67" s="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.75" customHeight="1">
      <c r="A68" s="1"/>
      <c r="B68" s="124"/>
      <c r="C68" s="1"/>
      <c r="D68" s="1"/>
      <c r="E68" s="3"/>
      <c r="F68" s="3"/>
      <c r="G68" s="57"/>
      <c r="H68" s="57"/>
      <c r="I68" s="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.75" customHeight="1">
      <c r="A69" s="1"/>
      <c r="B69" s="124"/>
      <c r="C69" s="1"/>
      <c r="D69" s="1"/>
      <c r="E69" s="3"/>
      <c r="F69" s="3"/>
      <c r="G69" s="57"/>
      <c r="H69" s="57"/>
      <c r="I69" s="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.75" customHeight="1">
      <c r="A70" s="1"/>
      <c r="B70" s="124"/>
      <c r="C70" s="1"/>
      <c r="D70" s="1"/>
      <c r="E70" s="3"/>
      <c r="F70" s="3"/>
      <c r="G70" s="57"/>
      <c r="H70" s="57"/>
      <c r="I70" s="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.75" customHeight="1">
      <c r="A71" s="1"/>
      <c r="B71" s="124"/>
      <c r="C71" s="1"/>
      <c r="D71" s="1"/>
      <c r="E71" s="3"/>
      <c r="F71" s="3"/>
      <c r="G71" s="57"/>
      <c r="H71" s="57"/>
      <c r="I71" s="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.75" customHeight="1">
      <c r="A72" s="1"/>
      <c r="B72" s="124"/>
      <c r="C72" s="1"/>
      <c r="D72" s="1"/>
      <c r="E72" s="3"/>
      <c r="F72" s="3"/>
      <c r="G72" s="57"/>
      <c r="H72" s="57"/>
      <c r="I72" s="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.75" customHeight="1">
      <c r="A73" s="1"/>
      <c r="B73" s="124"/>
      <c r="C73" s="1"/>
      <c r="D73" s="1"/>
      <c r="E73" s="3"/>
      <c r="F73" s="3"/>
      <c r="G73" s="57"/>
      <c r="H73" s="57"/>
      <c r="I73" s="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.75" customHeight="1">
      <c r="A74" s="1"/>
      <c r="B74" s="124"/>
      <c r="C74" s="1"/>
      <c r="D74" s="1"/>
      <c r="E74" s="3"/>
      <c r="F74" s="3"/>
      <c r="G74" s="57"/>
      <c r="H74" s="57"/>
      <c r="I74" s="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.75" customHeight="1">
      <c r="A75" s="1"/>
      <c r="B75" s="124"/>
      <c r="C75" s="1"/>
      <c r="D75" s="1"/>
      <c r="E75" s="3"/>
      <c r="F75" s="3"/>
      <c r="G75" s="57"/>
      <c r="H75" s="57"/>
      <c r="I75" s="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.75" customHeight="1">
      <c r="A76" s="1"/>
      <c r="B76" s="124"/>
      <c r="C76" s="1"/>
      <c r="D76" s="1"/>
      <c r="E76" s="3"/>
      <c r="F76" s="3"/>
      <c r="G76" s="57"/>
      <c r="H76" s="57"/>
      <c r="I76" s="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.75" customHeight="1">
      <c r="A77" s="1"/>
      <c r="B77" s="124"/>
      <c r="C77" s="1"/>
      <c r="D77" s="1"/>
      <c r="E77" s="3"/>
      <c r="F77" s="3"/>
      <c r="G77" s="57"/>
      <c r="H77" s="57"/>
      <c r="I77" s="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.75" customHeight="1">
      <c r="A78" s="1"/>
      <c r="B78" s="124"/>
      <c r="C78" s="1"/>
      <c r="D78" s="1"/>
      <c r="E78" s="3"/>
      <c r="F78" s="3"/>
      <c r="G78" s="57"/>
      <c r="H78" s="57"/>
      <c r="I78" s="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.75" customHeight="1">
      <c r="A79" s="1"/>
      <c r="B79" s="124"/>
      <c r="C79" s="1"/>
      <c r="D79" s="1"/>
      <c r="E79" s="3"/>
      <c r="F79" s="3"/>
      <c r="G79" s="57"/>
      <c r="H79" s="57"/>
      <c r="I79" s="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.75" customHeight="1">
      <c r="A80" s="1"/>
      <c r="B80" s="124"/>
      <c r="C80" s="1"/>
      <c r="D80" s="1"/>
      <c r="E80" s="3"/>
      <c r="F80" s="3"/>
      <c r="G80" s="57"/>
      <c r="H80" s="57"/>
      <c r="I80" s="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.75" customHeight="1">
      <c r="A81" s="1"/>
      <c r="B81" s="124"/>
      <c r="C81" s="1"/>
      <c r="D81" s="1"/>
      <c r="E81" s="3"/>
      <c r="F81" s="3"/>
      <c r="G81" s="57"/>
      <c r="H81" s="57"/>
      <c r="I81" s="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.75" customHeight="1">
      <c r="A82" s="1"/>
      <c r="B82" s="124"/>
      <c r="C82" s="1"/>
      <c r="D82" s="1"/>
      <c r="E82" s="3"/>
      <c r="F82" s="3"/>
      <c r="G82" s="57"/>
      <c r="H82" s="57"/>
      <c r="I82" s="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.75" customHeight="1">
      <c r="A83" s="1"/>
      <c r="B83" s="124"/>
      <c r="C83" s="1"/>
      <c r="D83" s="1"/>
      <c r="E83" s="3"/>
      <c r="F83" s="3"/>
      <c r="G83" s="57"/>
      <c r="H83" s="57"/>
      <c r="I83" s="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.75" customHeight="1">
      <c r="A84" s="1"/>
      <c r="B84" s="124"/>
      <c r="C84" s="1"/>
      <c r="D84" s="1"/>
      <c r="E84" s="3"/>
      <c r="F84" s="3"/>
      <c r="G84" s="57"/>
      <c r="H84" s="57"/>
      <c r="I84" s="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.75" customHeight="1">
      <c r="A85" s="1"/>
      <c r="B85" s="124"/>
      <c r="C85" s="1"/>
      <c r="D85" s="1"/>
      <c r="E85" s="3"/>
      <c r="F85" s="3"/>
      <c r="G85" s="57"/>
      <c r="H85" s="57"/>
      <c r="I85" s="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.75" customHeight="1">
      <c r="A86" s="1"/>
      <c r="B86" s="124"/>
      <c r="C86" s="1"/>
      <c r="D86" s="1"/>
      <c r="E86" s="3"/>
      <c r="F86" s="3"/>
      <c r="G86" s="57"/>
      <c r="H86" s="57"/>
      <c r="I86" s="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.75" customHeight="1">
      <c r="A87" s="1"/>
      <c r="B87" s="124"/>
      <c r="C87" s="1"/>
      <c r="D87" s="1"/>
      <c r="E87" s="3"/>
      <c r="F87" s="3"/>
      <c r="G87" s="57"/>
      <c r="H87" s="57"/>
      <c r="I87" s="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.75" customHeight="1">
      <c r="A88" s="1"/>
      <c r="B88" s="124"/>
      <c r="C88" s="1"/>
      <c r="D88" s="1"/>
      <c r="E88" s="3"/>
      <c r="F88" s="3"/>
      <c r="G88" s="57"/>
      <c r="H88" s="57"/>
      <c r="I88" s="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.75" customHeight="1">
      <c r="A89" s="1"/>
      <c r="B89" s="124"/>
      <c r="C89" s="1"/>
      <c r="D89" s="1"/>
      <c r="E89" s="3"/>
      <c r="F89" s="3"/>
      <c r="G89" s="57"/>
      <c r="H89" s="57"/>
      <c r="I89" s="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.75" customHeight="1">
      <c r="A90" s="1"/>
      <c r="B90" s="124"/>
      <c r="C90" s="1"/>
      <c r="D90" s="1"/>
      <c r="E90" s="3"/>
      <c r="F90" s="3"/>
      <c r="G90" s="57"/>
      <c r="H90" s="57"/>
      <c r="I90" s="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.75" customHeight="1">
      <c r="A91" s="1"/>
      <c r="B91" s="124"/>
      <c r="C91" s="1"/>
      <c r="D91" s="1"/>
      <c r="E91" s="3"/>
      <c r="F91" s="3"/>
      <c r="G91" s="57"/>
      <c r="H91" s="57"/>
      <c r="I91" s="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.75" customHeight="1">
      <c r="A92" s="1"/>
      <c r="B92" s="124"/>
      <c r="C92" s="1"/>
      <c r="D92" s="1"/>
      <c r="E92" s="3"/>
      <c r="F92" s="3"/>
      <c r="G92" s="57"/>
      <c r="H92" s="57"/>
      <c r="I92" s="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.75" customHeight="1">
      <c r="A93" s="1"/>
      <c r="B93" s="124"/>
      <c r="C93" s="1"/>
      <c r="D93" s="1"/>
      <c r="E93" s="3"/>
      <c r="F93" s="3"/>
      <c r="G93" s="57"/>
      <c r="H93" s="57"/>
      <c r="I93" s="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.75" customHeight="1">
      <c r="A94" s="1"/>
      <c r="B94" s="124"/>
      <c r="C94" s="1"/>
      <c r="D94" s="1"/>
      <c r="E94" s="3"/>
      <c r="F94" s="3"/>
      <c r="G94" s="57"/>
      <c r="H94" s="57"/>
      <c r="I94" s="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.75" customHeight="1">
      <c r="A95" s="1"/>
      <c r="B95" s="124"/>
      <c r="C95" s="1"/>
      <c r="D95" s="1"/>
      <c r="E95" s="3"/>
      <c r="F95" s="3"/>
      <c r="G95" s="57"/>
      <c r="H95" s="57"/>
      <c r="I95" s="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.75" customHeight="1">
      <c r="A96" s="1"/>
      <c r="B96" s="124"/>
      <c r="C96" s="1"/>
      <c r="D96" s="1"/>
      <c r="E96" s="3"/>
      <c r="F96" s="3"/>
      <c r="G96" s="57"/>
      <c r="H96" s="57"/>
      <c r="I96" s="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.75" customHeight="1">
      <c r="A97" s="1"/>
      <c r="B97" s="124"/>
      <c r="C97" s="1"/>
      <c r="D97" s="1"/>
      <c r="E97" s="3"/>
      <c r="F97" s="3"/>
      <c r="G97" s="57"/>
      <c r="H97" s="57"/>
      <c r="I97" s="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.75" customHeight="1">
      <c r="A98" s="1"/>
      <c r="B98" s="124"/>
      <c r="C98" s="1"/>
      <c r="D98" s="1"/>
      <c r="E98" s="3"/>
      <c r="F98" s="3"/>
      <c r="G98" s="57"/>
      <c r="H98" s="57"/>
      <c r="I98" s="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.75" customHeight="1">
      <c r="A99" s="1"/>
      <c r="B99" s="124"/>
      <c r="C99" s="1"/>
      <c r="D99" s="1"/>
      <c r="E99" s="3"/>
      <c r="F99" s="3"/>
      <c r="G99" s="57"/>
      <c r="H99" s="57"/>
      <c r="I99" s="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.75" customHeight="1">
      <c r="A100" s="1"/>
      <c r="B100" s="124"/>
      <c r="C100" s="1"/>
      <c r="D100" s="1"/>
      <c r="E100" s="3"/>
      <c r="F100" s="3"/>
      <c r="G100" s="57"/>
      <c r="H100" s="57"/>
      <c r="I100" s="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.75" customHeight="1">
      <c r="A101" s="1"/>
      <c r="B101" s="124"/>
      <c r="C101" s="1"/>
      <c r="D101" s="1"/>
      <c r="E101" s="3"/>
      <c r="F101" s="3"/>
      <c r="G101" s="57"/>
      <c r="H101" s="57"/>
      <c r="I101" s="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.75" customHeight="1">
      <c r="A102" s="1"/>
      <c r="B102" s="124"/>
      <c r="C102" s="1"/>
      <c r="D102" s="1"/>
      <c r="E102" s="3"/>
      <c r="F102" s="3"/>
      <c r="G102" s="57"/>
      <c r="H102" s="57"/>
      <c r="I102" s="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.75" customHeight="1">
      <c r="A103" s="1"/>
      <c r="B103" s="124"/>
      <c r="C103" s="1"/>
      <c r="D103" s="1"/>
      <c r="E103" s="3"/>
      <c r="F103" s="3"/>
      <c r="G103" s="57"/>
      <c r="H103" s="57"/>
      <c r="I103" s="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.75" customHeight="1">
      <c r="A104" s="1"/>
      <c r="B104" s="124"/>
      <c r="C104" s="1"/>
      <c r="D104" s="1"/>
      <c r="E104" s="3"/>
      <c r="F104" s="3"/>
      <c r="G104" s="57"/>
      <c r="H104" s="57"/>
      <c r="I104" s="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.75" customHeight="1">
      <c r="A105" s="1"/>
      <c r="B105" s="124"/>
      <c r="C105" s="1"/>
      <c r="D105" s="1"/>
      <c r="E105" s="3"/>
      <c r="F105" s="3"/>
      <c r="G105" s="57"/>
      <c r="H105" s="57"/>
      <c r="I105" s="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.75" customHeight="1">
      <c r="A106" s="1"/>
      <c r="B106" s="124"/>
      <c r="C106" s="1"/>
      <c r="D106" s="1"/>
      <c r="E106" s="3"/>
      <c r="F106" s="3"/>
      <c r="G106" s="57"/>
      <c r="H106" s="57"/>
      <c r="I106" s="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.75" customHeight="1">
      <c r="A107" s="1"/>
      <c r="B107" s="124"/>
      <c r="C107" s="1"/>
      <c r="D107" s="1"/>
      <c r="E107" s="3"/>
      <c r="F107" s="3"/>
      <c r="G107" s="57"/>
      <c r="H107" s="57"/>
      <c r="I107" s="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.75" customHeight="1">
      <c r="A108" s="1"/>
      <c r="B108" s="124"/>
      <c r="C108" s="1"/>
      <c r="D108" s="1"/>
      <c r="E108" s="3"/>
      <c r="F108" s="3"/>
      <c r="G108" s="57"/>
      <c r="H108" s="57"/>
      <c r="I108" s="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.75" customHeight="1">
      <c r="A109" s="1"/>
      <c r="B109" s="124"/>
      <c r="C109" s="1"/>
      <c r="D109" s="1"/>
      <c r="E109" s="3"/>
      <c r="F109" s="3"/>
      <c r="G109" s="57"/>
      <c r="H109" s="57"/>
      <c r="I109" s="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.75" customHeight="1">
      <c r="A110" s="1"/>
      <c r="B110" s="124"/>
      <c r="C110" s="1"/>
      <c r="D110" s="1"/>
      <c r="E110" s="3"/>
      <c r="F110" s="3"/>
      <c r="G110" s="57"/>
      <c r="H110" s="57"/>
      <c r="I110" s="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.75" customHeight="1">
      <c r="A111" s="1"/>
      <c r="B111" s="124"/>
      <c r="C111" s="1"/>
      <c r="D111" s="1"/>
      <c r="E111" s="3"/>
      <c r="F111" s="3"/>
      <c r="G111" s="57"/>
      <c r="H111" s="57"/>
      <c r="I111" s="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.75" customHeight="1">
      <c r="A112" s="1"/>
      <c r="B112" s="124"/>
      <c r="C112" s="1"/>
      <c r="D112" s="1"/>
      <c r="E112" s="3"/>
      <c r="F112" s="3"/>
      <c r="G112" s="57"/>
      <c r="H112" s="57"/>
      <c r="I112" s="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.75" customHeight="1">
      <c r="A113" s="1"/>
      <c r="B113" s="124"/>
      <c r="C113" s="1"/>
      <c r="D113" s="1"/>
      <c r="E113" s="3"/>
      <c r="F113" s="3"/>
      <c r="G113" s="57"/>
      <c r="H113" s="57"/>
      <c r="I113" s="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.75" customHeight="1">
      <c r="A114" s="1"/>
      <c r="B114" s="124"/>
      <c r="C114" s="1"/>
      <c r="D114" s="1"/>
      <c r="E114" s="3"/>
      <c r="F114" s="3"/>
      <c r="G114" s="57"/>
      <c r="H114" s="57"/>
      <c r="I114" s="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.75" customHeight="1">
      <c r="A115" s="1"/>
      <c r="B115" s="124"/>
      <c r="C115" s="1"/>
      <c r="D115" s="1"/>
      <c r="E115" s="3"/>
      <c r="F115" s="3"/>
      <c r="G115" s="57"/>
      <c r="H115" s="57"/>
      <c r="I115" s="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.75" customHeight="1">
      <c r="A116" s="1"/>
      <c r="B116" s="124"/>
      <c r="C116" s="1"/>
      <c r="D116" s="1"/>
      <c r="E116" s="3"/>
      <c r="F116" s="3"/>
      <c r="G116" s="57"/>
      <c r="H116" s="57"/>
      <c r="I116" s="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.75" customHeight="1">
      <c r="A117" s="1"/>
      <c r="B117" s="124"/>
      <c r="C117" s="1"/>
      <c r="D117" s="1"/>
      <c r="E117" s="3"/>
      <c r="F117" s="3"/>
      <c r="G117" s="57"/>
      <c r="H117" s="57"/>
      <c r="I117" s="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.75" customHeight="1">
      <c r="A118" s="1"/>
      <c r="B118" s="124"/>
      <c r="C118" s="1"/>
      <c r="D118" s="1"/>
      <c r="E118" s="3"/>
      <c r="F118" s="3"/>
      <c r="G118" s="57"/>
      <c r="H118" s="57"/>
      <c r="I118" s="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.75" customHeight="1">
      <c r="A119" s="1"/>
      <c r="B119" s="124"/>
      <c r="C119" s="1"/>
      <c r="D119" s="1"/>
      <c r="E119" s="3"/>
      <c r="F119" s="3"/>
      <c r="G119" s="57"/>
      <c r="H119" s="57"/>
      <c r="I119" s="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.75" customHeight="1">
      <c r="A120" s="1"/>
      <c r="B120" s="124"/>
      <c r="C120" s="1"/>
      <c r="D120" s="1"/>
      <c r="E120" s="3"/>
      <c r="F120" s="3"/>
      <c r="G120" s="57"/>
      <c r="H120" s="57"/>
      <c r="I120" s="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.75" customHeight="1">
      <c r="A121" s="1"/>
      <c r="B121" s="124"/>
      <c r="C121" s="1"/>
      <c r="D121" s="1"/>
      <c r="E121" s="3"/>
      <c r="F121" s="3"/>
      <c r="G121" s="57"/>
      <c r="H121" s="57"/>
      <c r="I121" s="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.75" customHeight="1">
      <c r="A122" s="1"/>
      <c r="B122" s="124"/>
      <c r="C122" s="1"/>
      <c r="D122" s="1"/>
      <c r="E122" s="3"/>
      <c r="F122" s="3"/>
      <c r="G122" s="57"/>
      <c r="H122" s="57"/>
      <c r="I122" s="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.75" customHeight="1">
      <c r="A123" s="1"/>
      <c r="B123" s="124"/>
      <c r="C123" s="1"/>
      <c r="D123" s="1"/>
      <c r="E123" s="3"/>
      <c r="F123" s="3"/>
      <c r="G123" s="57"/>
      <c r="H123" s="57"/>
      <c r="I123" s="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.75" customHeight="1">
      <c r="A124" s="1"/>
      <c r="B124" s="124"/>
      <c r="C124" s="1"/>
      <c r="D124" s="1"/>
      <c r="E124" s="3"/>
      <c r="F124" s="3"/>
      <c r="G124" s="57"/>
      <c r="H124" s="57"/>
      <c r="I124" s="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.75" customHeight="1">
      <c r="A125" s="1"/>
      <c r="B125" s="124"/>
      <c r="C125" s="1"/>
      <c r="D125" s="1"/>
      <c r="E125" s="3"/>
      <c r="F125" s="3"/>
      <c r="G125" s="57"/>
      <c r="H125" s="57"/>
      <c r="I125" s="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.75" customHeight="1">
      <c r="A126" s="1"/>
      <c r="B126" s="124"/>
      <c r="C126" s="1"/>
      <c r="D126" s="1"/>
      <c r="E126" s="3"/>
      <c r="F126" s="3"/>
      <c r="G126" s="57"/>
      <c r="H126" s="57"/>
      <c r="I126" s="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.75" customHeight="1">
      <c r="A127" s="1"/>
      <c r="B127" s="124"/>
      <c r="C127" s="1"/>
      <c r="D127" s="1"/>
      <c r="E127" s="3"/>
      <c r="F127" s="3"/>
      <c r="G127" s="57"/>
      <c r="H127" s="57"/>
      <c r="I127" s="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.75" customHeight="1">
      <c r="A128" s="1"/>
      <c r="B128" s="124"/>
      <c r="C128" s="1"/>
      <c r="D128" s="1"/>
      <c r="E128" s="3"/>
      <c r="F128" s="3"/>
      <c r="G128" s="57"/>
      <c r="H128" s="57"/>
      <c r="I128" s="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.75" customHeight="1">
      <c r="A129" s="1"/>
      <c r="B129" s="124"/>
      <c r="C129" s="1"/>
      <c r="D129" s="1"/>
      <c r="E129" s="3"/>
      <c r="F129" s="3"/>
      <c r="G129" s="57"/>
      <c r="H129" s="57"/>
      <c r="I129" s="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.75" customHeight="1">
      <c r="A130" s="1"/>
      <c r="B130" s="124"/>
      <c r="C130" s="1"/>
      <c r="D130" s="1"/>
      <c r="E130" s="3"/>
      <c r="F130" s="3"/>
      <c r="G130" s="57"/>
      <c r="H130" s="57"/>
      <c r="I130" s="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.75" customHeight="1">
      <c r="A131" s="1"/>
      <c r="B131" s="124"/>
      <c r="C131" s="1"/>
      <c r="D131" s="1"/>
      <c r="E131" s="3"/>
      <c r="F131" s="3"/>
      <c r="G131" s="57"/>
      <c r="H131" s="57"/>
      <c r="I131" s="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.75" customHeight="1">
      <c r="A132" s="1"/>
      <c r="B132" s="124"/>
      <c r="C132" s="1"/>
      <c r="D132" s="1"/>
      <c r="E132" s="3"/>
      <c r="F132" s="3"/>
      <c r="G132" s="57"/>
      <c r="H132" s="57"/>
      <c r="I132" s="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.75" customHeight="1">
      <c r="A133" s="1"/>
      <c r="B133" s="124"/>
      <c r="C133" s="1"/>
      <c r="D133" s="1"/>
      <c r="E133" s="3"/>
      <c r="F133" s="3"/>
      <c r="G133" s="57"/>
      <c r="H133" s="57"/>
      <c r="I133" s="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.75" customHeight="1">
      <c r="A134" s="1"/>
      <c r="B134" s="124"/>
      <c r="C134" s="1"/>
      <c r="D134" s="1"/>
      <c r="E134" s="3"/>
      <c r="F134" s="3"/>
      <c r="G134" s="57"/>
      <c r="H134" s="57"/>
      <c r="I134" s="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.75" customHeight="1">
      <c r="A135" s="1"/>
      <c r="B135" s="124"/>
      <c r="C135" s="1"/>
      <c r="D135" s="1"/>
      <c r="E135" s="3"/>
      <c r="F135" s="3"/>
      <c r="G135" s="57"/>
      <c r="H135" s="57"/>
      <c r="I135" s="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.75" customHeight="1">
      <c r="A136" s="1"/>
      <c r="B136" s="124"/>
      <c r="C136" s="1"/>
      <c r="D136" s="1"/>
      <c r="E136" s="3"/>
      <c r="F136" s="3"/>
      <c r="G136" s="57"/>
      <c r="H136" s="57"/>
      <c r="I136" s="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.75" customHeight="1">
      <c r="A137" s="1"/>
      <c r="B137" s="124"/>
      <c r="C137" s="1"/>
      <c r="D137" s="1"/>
      <c r="E137" s="3"/>
      <c r="F137" s="3"/>
      <c r="G137" s="57"/>
      <c r="H137" s="57"/>
      <c r="I137" s="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.75" customHeight="1">
      <c r="A138" s="1"/>
      <c r="B138" s="124"/>
      <c r="C138" s="1"/>
      <c r="D138" s="1"/>
      <c r="E138" s="3"/>
      <c r="F138" s="3"/>
      <c r="G138" s="57"/>
      <c r="H138" s="57"/>
      <c r="I138" s="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.75" customHeight="1">
      <c r="A139" s="1"/>
      <c r="B139" s="124"/>
      <c r="C139" s="1"/>
      <c r="D139" s="1"/>
      <c r="E139" s="3"/>
      <c r="F139" s="3"/>
      <c r="G139" s="57"/>
      <c r="H139" s="57"/>
      <c r="I139" s="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.75" customHeight="1">
      <c r="A140" s="1"/>
      <c r="B140" s="124"/>
      <c r="C140" s="1"/>
      <c r="D140" s="1"/>
      <c r="E140" s="3"/>
      <c r="F140" s="3"/>
      <c r="G140" s="57"/>
      <c r="H140" s="57"/>
      <c r="I140" s="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.75" customHeight="1">
      <c r="A141" s="1"/>
      <c r="B141" s="124"/>
      <c r="C141" s="1"/>
      <c r="D141" s="1"/>
      <c r="E141" s="3"/>
      <c r="F141" s="3"/>
      <c r="G141" s="57"/>
      <c r="H141" s="57"/>
      <c r="I141" s="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.75" customHeight="1">
      <c r="A142" s="1"/>
      <c r="B142" s="124"/>
      <c r="C142" s="1"/>
      <c r="D142" s="1"/>
      <c r="E142" s="3"/>
      <c r="F142" s="3"/>
      <c r="G142" s="57"/>
      <c r="H142" s="57"/>
      <c r="I142" s="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.75" customHeight="1">
      <c r="A143" s="1"/>
      <c r="B143" s="124"/>
      <c r="C143" s="1"/>
      <c r="D143" s="1"/>
      <c r="E143" s="3"/>
      <c r="F143" s="3"/>
      <c r="G143" s="57"/>
      <c r="H143" s="57"/>
      <c r="I143" s="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.75" customHeight="1">
      <c r="A144" s="1"/>
      <c r="B144" s="124"/>
      <c r="C144" s="1"/>
      <c r="D144" s="1"/>
      <c r="E144" s="3"/>
      <c r="F144" s="3"/>
      <c r="G144" s="57"/>
      <c r="H144" s="57"/>
      <c r="I144" s="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.75" customHeight="1">
      <c r="A145" s="1"/>
      <c r="B145" s="124"/>
      <c r="C145" s="1"/>
      <c r="D145" s="1"/>
      <c r="E145" s="3"/>
      <c r="F145" s="3"/>
      <c r="G145" s="57"/>
      <c r="H145" s="57"/>
      <c r="I145" s="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.75" customHeight="1">
      <c r="A146" s="1"/>
      <c r="B146" s="124"/>
      <c r="C146" s="1"/>
      <c r="D146" s="1"/>
      <c r="E146" s="3"/>
      <c r="F146" s="3"/>
      <c r="G146" s="57"/>
      <c r="H146" s="57"/>
      <c r="I146" s="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.75" customHeight="1">
      <c r="A147" s="1"/>
      <c r="B147" s="124"/>
      <c r="C147" s="1"/>
      <c r="D147" s="1"/>
      <c r="E147" s="3"/>
      <c r="F147" s="3"/>
      <c r="G147" s="57"/>
      <c r="H147" s="57"/>
      <c r="I147" s="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.75" customHeight="1">
      <c r="A148" s="1"/>
      <c r="B148" s="124"/>
      <c r="C148" s="1"/>
      <c r="D148" s="1"/>
      <c r="E148" s="3"/>
      <c r="F148" s="3"/>
      <c r="G148" s="57"/>
      <c r="H148" s="57"/>
      <c r="I148" s="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.75" customHeight="1">
      <c r="A149" s="1"/>
      <c r="B149" s="124"/>
      <c r="C149" s="1"/>
      <c r="D149" s="1"/>
      <c r="E149" s="3"/>
      <c r="F149" s="3"/>
      <c r="G149" s="57"/>
      <c r="H149" s="57"/>
      <c r="I149" s="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.75" customHeight="1">
      <c r="A150" s="1"/>
      <c r="B150" s="124"/>
      <c r="C150" s="1"/>
      <c r="D150" s="1"/>
      <c r="E150" s="3"/>
      <c r="F150" s="3"/>
      <c r="G150" s="57"/>
      <c r="H150" s="57"/>
      <c r="I150" s="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.75" customHeight="1">
      <c r="A151" s="1"/>
      <c r="B151" s="124"/>
      <c r="C151" s="1"/>
      <c r="D151" s="1"/>
      <c r="E151" s="3"/>
      <c r="F151" s="3"/>
      <c r="G151" s="57"/>
      <c r="H151" s="57"/>
      <c r="I151" s="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.75" customHeight="1">
      <c r="A152" s="1"/>
      <c r="B152" s="124"/>
      <c r="C152" s="1"/>
      <c r="D152" s="1"/>
      <c r="E152" s="3"/>
      <c r="F152" s="3"/>
      <c r="G152" s="57"/>
      <c r="H152" s="57"/>
      <c r="I152" s="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.75" customHeight="1">
      <c r="A153" s="1"/>
      <c r="B153" s="124"/>
      <c r="C153" s="1"/>
      <c r="D153" s="1"/>
      <c r="E153" s="3"/>
      <c r="F153" s="3"/>
      <c r="G153" s="57"/>
      <c r="H153" s="57"/>
      <c r="I153" s="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.75" customHeight="1">
      <c r="A154" s="1"/>
      <c r="B154" s="124"/>
      <c r="C154" s="1"/>
      <c r="D154" s="1"/>
      <c r="E154" s="3"/>
      <c r="F154" s="3"/>
      <c r="G154" s="57"/>
      <c r="H154" s="57"/>
      <c r="I154" s="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.75" customHeight="1">
      <c r="A155" s="1"/>
      <c r="B155" s="124"/>
      <c r="C155" s="1"/>
      <c r="D155" s="1"/>
      <c r="E155" s="3"/>
      <c r="F155" s="3"/>
      <c r="G155" s="57"/>
      <c r="H155" s="57"/>
      <c r="I155" s="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.75" customHeight="1">
      <c r="A156" s="1"/>
      <c r="B156" s="124"/>
      <c r="C156" s="1"/>
      <c r="D156" s="1"/>
      <c r="E156" s="3"/>
      <c r="F156" s="3"/>
      <c r="G156" s="57"/>
      <c r="H156" s="57"/>
      <c r="I156" s="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.75" customHeight="1">
      <c r="A157" s="1"/>
      <c r="B157" s="124"/>
      <c r="C157" s="1"/>
      <c r="D157" s="1"/>
      <c r="E157" s="3"/>
      <c r="F157" s="3"/>
      <c r="G157" s="57"/>
      <c r="H157" s="57"/>
      <c r="I157" s="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.75" customHeight="1">
      <c r="A158" s="1"/>
      <c r="B158" s="124"/>
      <c r="C158" s="1"/>
      <c r="D158" s="1"/>
      <c r="E158" s="3"/>
      <c r="F158" s="3"/>
      <c r="G158" s="57"/>
      <c r="H158" s="57"/>
      <c r="I158" s="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.75" customHeight="1">
      <c r="A159" s="1"/>
      <c r="B159" s="124"/>
      <c r="C159" s="1"/>
      <c r="D159" s="1"/>
      <c r="E159" s="3"/>
      <c r="F159" s="3"/>
      <c r="G159" s="57"/>
      <c r="H159" s="57"/>
      <c r="I159" s="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.75" customHeight="1">
      <c r="A160" s="1"/>
      <c r="B160" s="124"/>
      <c r="C160" s="1"/>
      <c r="D160" s="1"/>
      <c r="E160" s="3"/>
      <c r="F160" s="3"/>
      <c r="G160" s="57"/>
      <c r="H160" s="57"/>
      <c r="I160" s="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.75" customHeight="1">
      <c r="A161" s="1"/>
      <c r="B161" s="124"/>
      <c r="C161" s="1"/>
      <c r="D161" s="1"/>
      <c r="E161" s="3"/>
      <c r="F161" s="3"/>
      <c r="G161" s="57"/>
      <c r="H161" s="57"/>
      <c r="I161" s="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.75" customHeight="1">
      <c r="A162" s="1"/>
      <c r="B162" s="124"/>
      <c r="C162" s="1"/>
      <c r="D162" s="1"/>
      <c r="E162" s="3"/>
      <c r="F162" s="3"/>
      <c r="G162" s="57"/>
      <c r="H162" s="57"/>
      <c r="I162" s="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.75" customHeight="1">
      <c r="A163" s="1"/>
      <c r="B163" s="124"/>
      <c r="C163" s="1"/>
      <c r="D163" s="1"/>
      <c r="E163" s="3"/>
      <c r="F163" s="3"/>
      <c r="G163" s="57"/>
      <c r="H163" s="57"/>
      <c r="I163" s="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.75" customHeight="1">
      <c r="A164" s="1"/>
      <c r="B164" s="124"/>
      <c r="C164" s="1"/>
      <c r="D164" s="1"/>
      <c r="E164" s="3"/>
      <c r="F164" s="3"/>
      <c r="G164" s="57"/>
      <c r="H164" s="57"/>
      <c r="I164" s="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.75" customHeight="1">
      <c r="A165" s="1"/>
      <c r="B165" s="124"/>
      <c r="C165" s="1"/>
      <c r="D165" s="1"/>
      <c r="E165" s="3"/>
      <c r="F165" s="3"/>
      <c r="G165" s="57"/>
      <c r="H165" s="57"/>
      <c r="I165" s="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.75" customHeight="1">
      <c r="A166" s="1"/>
      <c r="B166" s="124"/>
      <c r="C166" s="1"/>
      <c r="D166" s="1"/>
      <c r="E166" s="3"/>
      <c r="F166" s="3"/>
      <c r="G166" s="57"/>
      <c r="H166" s="57"/>
      <c r="I166" s="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.75" customHeight="1">
      <c r="A167" s="1"/>
      <c r="B167" s="124"/>
      <c r="C167" s="1"/>
      <c r="D167" s="1"/>
      <c r="E167" s="3"/>
      <c r="F167" s="3"/>
      <c r="G167" s="57"/>
      <c r="H167" s="57"/>
      <c r="I167" s="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.75" customHeight="1">
      <c r="A168" s="1"/>
      <c r="B168" s="124"/>
      <c r="C168" s="1"/>
      <c r="D168" s="1"/>
      <c r="E168" s="3"/>
      <c r="F168" s="3"/>
      <c r="G168" s="57"/>
      <c r="H168" s="57"/>
      <c r="I168" s="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.75" customHeight="1">
      <c r="A169" s="1"/>
      <c r="B169" s="124"/>
      <c r="C169" s="1"/>
      <c r="D169" s="1"/>
      <c r="E169" s="3"/>
      <c r="F169" s="3"/>
      <c r="G169" s="57"/>
      <c r="H169" s="57"/>
      <c r="I169" s="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.75" customHeight="1">
      <c r="A170" s="1"/>
      <c r="B170" s="124"/>
      <c r="C170" s="1"/>
      <c r="D170" s="1"/>
      <c r="E170" s="3"/>
      <c r="F170" s="3"/>
      <c r="G170" s="57"/>
      <c r="H170" s="57"/>
      <c r="I170" s="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.75" customHeight="1">
      <c r="A171" s="1"/>
      <c r="B171" s="124"/>
      <c r="C171" s="1"/>
      <c r="D171" s="1"/>
      <c r="E171" s="3"/>
      <c r="F171" s="3"/>
      <c r="G171" s="57"/>
      <c r="H171" s="57"/>
      <c r="I171" s="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.75" customHeight="1">
      <c r="A172" s="1"/>
      <c r="B172" s="124"/>
      <c r="C172" s="1"/>
      <c r="D172" s="1"/>
      <c r="E172" s="3"/>
      <c r="F172" s="3"/>
      <c r="G172" s="57"/>
      <c r="H172" s="57"/>
      <c r="I172" s="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.75" customHeight="1">
      <c r="A173" s="1"/>
      <c r="B173" s="124"/>
      <c r="C173" s="1"/>
      <c r="D173" s="1"/>
      <c r="E173" s="3"/>
      <c r="F173" s="3"/>
      <c r="G173" s="57"/>
      <c r="H173" s="57"/>
      <c r="I173" s="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.75" customHeight="1">
      <c r="A174" s="1"/>
      <c r="B174" s="124"/>
      <c r="C174" s="1"/>
      <c r="D174" s="1"/>
      <c r="E174" s="3"/>
      <c r="F174" s="3"/>
      <c r="G174" s="57"/>
      <c r="H174" s="57"/>
      <c r="I174" s="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.75" customHeight="1">
      <c r="A175" s="1"/>
      <c r="B175" s="124"/>
      <c r="C175" s="1"/>
      <c r="D175" s="1"/>
      <c r="E175" s="3"/>
      <c r="F175" s="3"/>
      <c r="G175" s="57"/>
      <c r="H175" s="57"/>
      <c r="I175" s="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.75" customHeight="1">
      <c r="A176" s="1"/>
      <c r="B176" s="124"/>
      <c r="C176" s="1"/>
      <c r="D176" s="1"/>
      <c r="E176" s="3"/>
      <c r="F176" s="3"/>
      <c r="G176" s="57"/>
      <c r="H176" s="57"/>
      <c r="I176" s="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.75" customHeight="1">
      <c r="A177" s="1"/>
      <c r="B177" s="124"/>
      <c r="C177" s="1"/>
      <c r="D177" s="1"/>
      <c r="E177" s="3"/>
      <c r="F177" s="3"/>
      <c r="G177" s="57"/>
      <c r="H177" s="57"/>
      <c r="I177" s="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.75" customHeight="1">
      <c r="A178" s="1"/>
      <c r="B178" s="124"/>
      <c r="C178" s="1"/>
      <c r="D178" s="1"/>
      <c r="E178" s="3"/>
      <c r="F178" s="3"/>
      <c r="G178" s="57"/>
      <c r="H178" s="57"/>
      <c r="I178" s="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.75" customHeight="1">
      <c r="A179" s="1"/>
      <c r="B179" s="124"/>
      <c r="C179" s="1"/>
      <c r="D179" s="1"/>
      <c r="E179" s="3"/>
      <c r="F179" s="3"/>
      <c r="G179" s="57"/>
      <c r="H179" s="57"/>
      <c r="I179" s="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.75" customHeight="1">
      <c r="A180" s="1"/>
      <c r="B180" s="124"/>
      <c r="C180" s="1"/>
      <c r="D180" s="1"/>
      <c r="E180" s="3"/>
      <c r="F180" s="3"/>
      <c r="G180" s="57"/>
      <c r="H180" s="57"/>
      <c r="I180" s="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.75" customHeight="1">
      <c r="A181" s="1"/>
      <c r="B181" s="124"/>
      <c r="C181" s="1"/>
      <c r="D181" s="1"/>
      <c r="E181" s="3"/>
      <c r="F181" s="3"/>
      <c r="G181" s="57"/>
      <c r="H181" s="57"/>
      <c r="I181" s="3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.75" customHeight="1">
      <c r="A182" s="1"/>
      <c r="B182" s="124"/>
      <c r="C182" s="1"/>
      <c r="D182" s="1"/>
      <c r="E182" s="3"/>
      <c r="F182" s="3"/>
      <c r="G182" s="57"/>
      <c r="H182" s="57"/>
      <c r="I182" s="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.75" customHeight="1">
      <c r="A183" s="1"/>
      <c r="B183" s="124"/>
      <c r="C183" s="1"/>
      <c r="D183" s="1"/>
      <c r="E183" s="3"/>
      <c r="F183" s="3"/>
      <c r="G183" s="57"/>
      <c r="H183" s="57"/>
      <c r="I183" s="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.75" customHeight="1">
      <c r="A184" s="1"/>
      <c r="B184" s="124"/>
      <c r="C184" s="1"/>
      <c r="D184" s="1"/>
      <c r="E184" s="3"/>
      <c r="F184" s="3"/>
      <c r="G184" s="57"/>
      <c r="H184" s="57"/>
      <c r="I184" s="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.75" customHeight="1">
      <c r="A185" s="1"/>
      <c r="B185" s="124"/>
      <c r="C185" s="1"/>
      <c r="D185" s="1"/>
      <c r="E185" s="3"/>
      <c r="F185" s="3"/>
      <c r="G185" s="57"/>
      <c r="H185" s="57"/>
      <c r="I185" s="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.75" customHeight="1">
      <c r="A186" s="1"/>
      <c r="B186" s="124"/>
      <c r="C186" s="1"/>
      <c r="D186" s="1"/>
      <c r="E186" s="3"/>
      <c r="F186" s="3"/>
      <c r="G186" s="57"/>
      <c r="H186" s="57"/>
      <c r="I186" s="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.75" customHeight="1">
      <c r="A187" s="1"/>
      <c r="B187" s="124"/>
      <c r="C187" s="1"/>
      <c r="D187" s="1"/>
      <c r="E187" s="3"/>
      <c r="F187" s="3"/>
      <c r="G187" s="57"/>
      <c r="H187" s="57"/>
      <c r="I187" s="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.75" customHeight="1">
      <c r="A188" s="1"/>
      <c r="B188" s="124"/>
      <c r="C188" s="1"/>
      <c r="D188" s="1"/>
      <c r="E188" s="3"/>
      <c r="F188" s="3"/>
      <c r="G188" s="57"/>
      <c r="H188" s="57"/>
      <c r="I188" s="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.75" customHeight="1">
      <c r="A189" s="1"/>
      <c r="B189" s="124"/>
      <c r="C189" s="1"/>
      <c r="D189" s="1"/>
      <c r="E189" s="3"/>
      <c r="F189" s="3"/>
      <c r="G189" s="57"/>
      <c r="H189" s="57"/>
      <c r="I189" s="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.75" customHeight="1">
      <c r="A190" s="1"/>
      <c r="B190" s="124"/>
      <c r="C190" s="1"/>
      <c r="D190" s="1"/>
      <c r="E190" s="3"/>
      <c r="F190" s="3"/>
      <c r="G190" s="57"/>
      <c r="H190" s="57"/>
      <c r="I190" s="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.75" customHeight="1">
      <c r="A191" s="1"/>
      <c r="B191" s="124"/>
      <c r="C191" s="1"/>
      <c r="D191" s="1"/>
      <c r="E191" s="3"/>
      <c r="F191" s="3"/>
      <c r="G191" s="57"/>
      <c r="H191" s="57"/>
      <c r="I191" s="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.75" customHeight="1">
      <c r="A192" s="1"/>
      <c r="B192" s="124"/>
      <c r="C192" s="1"/>
      <c r="D192" s="1"/>
      <c r="E192" s="3"/>
      <c r="F192" s="3"/>
      <c r="G192" s="57"/>
      <c r="H192" s="57"/>
      <c r="I192" s="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.75" customHeight="1">
      <c r="A193" s="1"/>
      <c r="B193" s="124"/>
      <c r="C193" s="1"/>
      <c r="D193" s="1"/>
      <c r="E193" s="3"/>
      <c r="F193" s="3"/>
      <c r="G193" s="57"/>
      <c r="H193" s="57"/>
      <c r="I193" s="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.75" customHeight="1">
      <c r="A194" s="1"/>
      <c r="B194" s="124"/>
      <c r="C194" s="1"/>
      <c r="D194" s="1"/>
      <c r="E194" s="3"/>
      <c r="F194" s="3"/>
      <c r="G194" s="57"/>
      <c r="H194" s="57"/>
      <c r="I194" s="3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.75" customHeight="1">
      <c r="A195" s="1"/>
      <c r="B195" s="124"/>
      <c r="C195" s="1"/>
      <c r="D195" s="1"/>
      <c r="E195" s="3"/>
      <c r="F195" s="3"/>
      <c r="G195" s="57"/>
      <c r="H195" s="57"/>
      <c r="I195" s="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.75" customHeight="1">
      <c r="A196" s="1"/>
      <c r="B196" s="124"/>
      <c r="C196" s="1"/>
      <c r="D196" s="1"/>
      <c r="E196" s="3"/>
      <c r="F196" s="3"/>
      <c r="G196" s="57"/>
      <c r="H196" s="57"/>
      <c r="I196" s="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.75" customHeight="1">
      <c r="A197" s="1"/>
      <c r="B197" s="124"/>
      <c r="C197" s="1"/>
      <c r="D197" s="1"/>
      <c r="E197" s="3"/>
      <c r="F197" s="3"/>
      <c r="G197" s="57"/>
      <c r="H197" s="57"/>
      <c r="I197" s="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.75" customHeight="1">
      <c r="A198" s="1"/>
      <c r="B198" s="124"/>
      <c r="C198" s="1"/>
      <c r="D198" s="1"/>
      <c r="E198" s="3"/>
      <c r="F198" s="3"/>
      <c r="G198" s="57"/>
      <c r="H198" s="57"/>
      <c r="I198" s="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.75" customHeight="1">
      <c r="A199" s="1"/>
      <c r="B199" s="124"/>
      <c r="C199" s="1"/>
      <c r="D199" s="1"/>
      <c r="E199" s="3"/>
      <c r="F199" s="3"/>
      <c r="G199" s="57"/>
      <c r="H199" s="57"/>
      <c r="I199" s="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.75" customHeight="1">
      <c r="A200" s="1"/>
      <c r="B200" s="124"/>
      <c r="C200" s="1"/>
      <c r="D200" s="1"/>
      <c r="E200" s="3"/>
      <c r="F200" s="3"/>
      <c r="G200" s="57"/>
      <c r="H200" s="57"/>
      <c r="I200" s="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.75" customHeight="1">
      <c r="A201" s="1"/>
      <c r="B201" s="124"/>
      <c r="C201" s="1"/>
      <c r="D201" s="1"/>
      <c r="E201" s="3"/>
      <c r="F201" s="3"/>
      <c r="G201" s="57"/>
      <c r="H201" s="57"/>
      <c r="I201" s="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.75" customHeight="1">
      <c r="A202" s="1"/>
      <c r="B202" s="124"/>
      <c r="C202" s="1"/>
      <c r="D202" s="1"/>
      <c r="E202" s="3"/>
      <c r="F202" s="3"/>
      <c r="G202" s="57"/>
      <c r="H202" s="57"/>
      <c r="I202" s="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.75" customHeight="1">
      <c r="A203" s="1"/>
      <c r="B203" s="124"/>
      <c r="C203" s="1"/>
      <c r="D203" s="1"/>
      <c r="E203" s="3"/>
      <c r="F203" s="3"/>
      <c r="G203" s="57"/>
      <c r="H203" s="57"/>
      <c r="I203" s="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.75" customHeight="1">
      <c r="A204" s="1"/>
      <c r="B204" s="124"/>
      <c r="C204" s="1"/>
      <c r="D204" s="1"/>
      <c r="E204" s="3"/>
      <c r="F204" s="3"/>
      <c r="G204" s="57"/>
      <c r="H204" s="57"/>
      <c r="I204" s="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.75" customHeight="1">
      <c r="A205" s="1"/>
      <c r="B205" s="124"/>
      <c r="C205" s="1"/>
      <c r="D205" s="1"/>
      <c r="E205" s="3"/>
      <c r="F205" s="3"/>
      <c r="G205" s="57"/>
      <c r="H205" s="57"/>
      <c r="I205" s="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.75" customHeight="1">
      <c r="A206" s="1"/>
      <c r="B206" s="124"/>
      <c r="C206" s="1"/>
      <c r="D206" s="1"/>
      <c r="E206" s="3"/>
      <c r="F206" s="3"/>
      <c r="G206" s="57"/>
      <c r="H206" s="57"/>
      <c r="I206" s="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.75" customHeight="1">
      <c r="A207" s="1"/>
      <c r="B207" s="124"/>
      <c r="C207" s="1"/>
      <c r="D207" s="1"/>
      <c r="E207" s="3"/>
      <c r="F207" s="3"/>
      <c r="G207" s="57"/>
      <c r="H207" s="57"/>
      <c r="I207" s="3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.75" customHeight="1">
      <c r="A208" s="1"/>
      <c r="B208" s="124"/>
      <c r="C208" s="1"/>
      <c r="D208" s="1"/>
      <c r="E208" s="3"/>
      <c r="F208" s="3"/>
      <c r="G208" s="57"/>
      <c r="H208" s="57"/>
      <c r="I208" s="3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.75" customHeight="1">
      <c r="A209" s="1"/>
      <c r="B209" s="124"/>
      <c r="C209" s="1"/>
      <c r="D209" s="1"/>
      <c r="E209" s="3"/>
      <c r="F209" s="3"/>
      <c r="G209" s="57"/>
      <c r="H209" s="57"/>
      <c r="I209" s="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.75" customHeight="1">
      <c r="A210" s="1"/>
      <c r="B210" s="124"/>
      <c r="C210" s="1"/>
      <c r="D210" s="1"/>
      <c r="E210" s="3"/>
      <c r="F210" s="3"/>
      <c r="G210" s="57"/>
      <c r="H210" s="57"/>
      <c r="I210" s="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.75" customHeight="1">
      <c r="A211" s="1"/>
      <c r="B211" s="124"/>
      <c r="C211" s="1"/>
      <c r="D211" s="1"/>
      <c r="E211" s="3"/>
      <c r="F211" s="3"/>
      <c r="G211" s="57"/>
      <c r="H211" s="57"/>
      <c r="I211" s="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.75" customHeight="1">
      <c r="A212" s="1"/>
      <c r="B212" s="124"/>
      <c r="C212" s="1"/>
      <c r="D212" s="1"/>
      <c r="E212" s="3"/>
      <c r="F212" s="3"/>
      <c r="G212" s="57"/>
      <c r="H212" s="57"/>
      <c r="I212" s="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.75" customHeight="1">
      <c r="A213" s="1"/>
      <c r="B213" s="124"/>
      <c r="C213" s="1"/>
      <c r="D213" s="1"/>
      <c r="E213" s="3"/>
      <c r="F213" s="3"/>
      <c r="G213" s="57"/>
      <c r="H213" s="57"/>
      <c r="I213" s="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.75" customHeight="1">
      <c r="A214" s="1"/>
      <c r="B214" s="124"/>
      <c r="C214" s="1"/>
      <c r="D214" s="1"/>
      <c r="E214" s="3"/>
      <c r="F214" s="3"/>
      <c r="G214" s="57"/>
      <c r="H214" s="57"/>
      <c r="I214" s="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.75" customHeight="1">
      <c r="A215" s="1"/>
      <c r="B215" s="124"/>
      <c r="C215" s="1"/>
      <c r="D215" s="1"/>
      <c r="E215" s="3"/>
      <c r="F215" s="3"/>
      <c r="G215" s="57"/>
      <c r="H215" s="57"/>
      <c r="I215" s="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.75" customHeight="1">
      <c r="A216" s="1"/>
      <c r="B216" s="124"/>
      <c r="C216" s="1"/>
      <c r="D216" s="1"/>
      <c r="E216" s="3"/>
      <c r="F216" s="3"/>
      <c r="G216" s="57"/>
      <c r="H216" s="57"/>
      <c r="I216" s="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.75" customHeight="1">
      <c r="A217" s="1"/>
      <c r="B217" s="124"/>
      <c r="C217" s="1"/>
      <c r="D217" s="1"/>
      <c r="E217" s="3"/>
      <c r="F217" s="3"/>
      <c r="G217" s="57"/>
      <c r="H217" s="57"/>
      <c r="I217" s="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.75" customHeight="1">
      <c r="A218" s="1"/>
      <c r="B218" s="124"/>
      <c r="C218" s="1"/>
      <c r="D218" s="1"/>
      <c r="E218" s="3"/>
      <c r="F218" s="3"/>
      <c r="G218" s="57"/>
      <c r="H218" s="57"/>
      <c r="I218" s="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.75" customHeight="1">
      <c r="A219" s="1"/>
      <c r="B219" s="124"/>
      <c r="C219" s="1"/>
      <c r="D219" s="1"/>
      <c r="E219" s="3"/>
      <c r="F219" s="3"/>
      <c r="G219" s="57"/>
      <c r="H219" s="57"/>
      <c r="I219" s="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.75" customHeight="1">
      <c r="A220" s="1"/>
      <c r="B220" s="124"/>
      <c r="C220" s="1"/>
      <c r="D220" s="1"/>
      <c r="E220" s="3"/>
      <c r="F220" s="3"/>
      <c r="G220" s="57"/>
      <c r="H220" s="57"/>
      <c r="I220" s="3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.75" customHeight="1">
      <c r="A221" s="1"/>
      <c r="B221" s="124"/>
      <c r="C221" s="1"/>
      <c r="D221" s="1"/>
      <c r="E221" s="3"/>
      <c r="F221" s="3"/>
      <c r="G221" s="57"/>
      <c r="H221" s="57"/>
      <c r="I221" s="3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.75" customHeight="1">
      <c r="A222" s="1"/>
      <c r="B222" s="124"/>
      <c r="C222" s="1"/>
      <c r="D222" s="1"/>
      <c r="E222" s="3"/>
      <c r="F222" s="3"/>
      <c r="G222" s="57"/>
      <c r="H222" s="57"/>
      <c r="I222" s="3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.75" customHeight="1">
      <c r="A223" s="1"/>
      <c r="B223" s="124"/>
      <c r="C223" s="1"/>
      <c r="D223" s="1"/>
      <c r="E223" s="3"/>
      <c r="F223" s="3"/>
      <c r="G223" s="57"/>
      <c r="H223" s="57"/>
      <c r="I223" s="3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.75" customHeight="1">
      <c r="A224" s="1"/>
      <c r="B224" s="124"/>
      <c r="C224" s="1"/>
      <c r="D224" s="1"/>
      <c r="E224" s="3"/>
      <c r="F224" s="3"/>
      <c r="G224" s="57"/>
      <c r="H224" s="57"/>
      <c r="I224" s="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.75" customHeight="1">
      <c r="A225" s="1"/>
      <c r="B225" s="124"/>
      <c r="C225" s="1"/>
      <c r="D225" s="1"/>
      <c r="E225" s="3"/>
      <c r="F225" s="3"/>
      <c r="G225" s="57"/>
      <c r="H225" s="57"/>
      <c r="I225" s="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.75" customHeight="1">
      <c r="A226" s="1"/>
      <c r="B226" s="124"/>
      <c r="C226" s="1"/>
      <c r="D226" s="1"/>
      <c r="E226" s="3"/>
      <c r="F226" s="3"/>
      <c r="G226" s="57"/>
      <c r="H226" s="57"/>
      <c r="I226" s="3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5.75" customHeight="1">
      <c r="A227" s="1"/>
      <c r="B227" s="124"/>
      <c r="C227" s="1"/>
      <c r="D227" s="1"/>
      <c r="E227" s="3"/>
      <c r="F227" s="3"/>
      <c r="G227" s="57"/>
      <c r="H227" s="57"/>
      <c r="I227" s="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.75" customHeight="1">
      <c r="A228" s="1"/>
      <c r="B228" s="124"/>
      <c r="C228" s="1"/>
      <c r="D228" s="1"/>
      <c r="E228" s="3"/>
      <c r="F228" s="3"/>
      <c r="G228" s="57"/>
      <c r="H228" s="57"/>
      <c r="I228" s="3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.75" customHeight="1">
      <c r="A229" s="1"/>
      <c r="B229" s="124"/>
      <c r="C229" s="1"/>
      <c r="D229" s="1"/>
      <c r="E229" s="3"/>
      <c r="F229" s="3"/>
      <c r="G229" s="57"/>
      <c r="H229" s="57"/>
      <c r="I229" s="3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.75" customHeight="1">
      <c r="A230" s="1"/>
      <c r="B230" s="124"/>
      <c r="C230" s="1"/>
      <c r="D230" s="1"/>
      <c r="E230" s="3"/>
      <c r="F230" s="3"/>
      <c r="G230" s="57"/>
      <c r="H230" s="57"/>
      <c r="I230" s="3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.75" customHeight="1">
      <c r="A231" s="1"/>
      <c r="B231" s="124"/>
      <c r="C231" s="1"/>
      <c r="D231" s="1"/>
      <c r="E231" s="3"/>
      <c r="F231" s="3"/>
      <c r="G231" s="57"/>
      <c r="H231" s="57"/>
      <c r="I231" s="3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5.75" customHeight="1">
      <c r="A232" s="1"/>
      <c r="B232" s="124"/>
      <c r="C232" s="1"/>
      <c r="D232" s="1"/>
      <c r="E232" s="3"/>
      <c r="F232" s="3"/>
      <c r="G232" s="57"/>
      <c r="H232" s="57"/>
      <c r="I232" s="3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5.75" customHeight="1">
      <c r="A233" s="1"/>
      <c r="B233" s="124"/>
      <c r="C233" s="1"/>
      <c r="D233" s="1"/>
      <c r="E233" s="3"/>
      <c r="F233" s="3"/>
      <c r="G233" s="57"/>
      <c r="H233" s="57"/>
      <c r="I233" s="3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.75" customHeight="1">
      <c r="A234" s="1"/>
      <c r="B234" s="124"/>
      <c r="C234" s="1"/>
      <c r="D234" s="1"/>
      <c r="E234" s="3"/>
      <c r="F234" s="3"/>
      <c r="G234" s="57"/>
      <c r="H234" s="57"/>
      <c r="I234" s="3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.75" customHeight="1">
      <c r="A235" s="1"/>
      <c r="B235" s="124"/>
      <c r="C235" s="1"/>
      <c r="D235" s="1"/>
      <c r="E235" s="3"/>
      <c r="F235" s="3"/>
      <c r="G235" s="57"/>
      <c r="H235" s="57"/>
      <c r="I235" s="3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.75" customHeight="1">
      <c r="A236" s="1"/>
      <c r="B236" s="124"/>
      <c r="C236" s="1"/>
      <c r="D236" s="1"/>
      <c r="E236" s="3"/>
      <c r="F236" s="3"/>
      <c r="G236" s="57"/>
      <c r="H236" s="57"/>
      <c r="I236" s="3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.75" customHeight="1">
      <c r="A237" s="1"/>
      <c r="B237" s="124"/>
      <c r="C237" s="1"/>
      <c r="D237" s="1"/>
      <c r="E237" s="3"/>
      <c r="F237" s="3"/>
      <c r="G237" s="57"/>
      <c r="H237" s="57"/>
      <c r="I237" s="3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.75" customHeight="1">
      <c r="A238" s="1"/>
      <c r="B238" s="124"/>
      <c r="C238" s="1"/>
      <c r="D238" s="1"/>
      <c r="E238" s="3"/>
      <c r="F238" s="3"/>
      <c r="G238" s="57"/>
      <c r="H238" s="57"/>
      <c r="I238" s="3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.75" customHeight="1">
      <c r="A239" s="1"/>
      <c r="B239" s="124"/>
      <c r="C239" s="1"/>
      <c r="D239" s="1"/>
      <c r="E239" s="3"/>
      <c r="F239" s="3"/>
      <c r="G239" s="57"/>
      <c r="H239" s="57"/>
      <c r="I239" s="3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.75" customHeight="1">
      <c r="A240" s="1"/>
      <c r="B240" s="124"/>
      <c r="C240" s="1"/>
      <c r="D240" s="1"/>
      <c r="E240" s="3"/>
      <c r="F240" s="3"/>
      <c r="G240" s="57"/>
      <c r="H240" s="57"/>
      <c r="I240" s="3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.75" customHeight="1">
      <c r="A241" s="1"/>
      <c r="B241" s="124"/>
      <c r="C241" s="1"/>
      <c r="D241" s="1"/>
      <c r="E241" s="3"/>
      <c r="F241" s="3"/>
      <c r="G241" s="57"/>
      <c r="H241" s="57"/>
      <c r="I241" s="3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.75" customHeight="1">
      <c r="A242" s="1"/>
      <c r="B242" s="124"/>
      <c r="C242" s="1"/>
      <c r="D242" s="1"/>
      <c r="E242" s="3"/>
      <c r="F242" s="3"/>
      <c r="G242" s="57"/>
      <c r="H242" s="57"/>
      <c r="I242" s="3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.75" customHeight="1">
      <c r="A243" s="1"/>
      <c r="B243" s="124"/>
      <c r="C243" s="1"/>
      <c r="D243" s="1"/>
      <c r="E243" s="3"/>
      <c r="F243" s="3"/>
      <c r="G243" s="57"/>
      <c r="H243" s="57"/>
      <c r="I243" s="3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.75" customHeight="1">
      <c r="A244" s="1"/>
      <c r="B244" s="124"/>
      <c r="C244" s="1"/>
      <c r="D244" s="1"/>
      <c r="E244" s="3"/>
      <c r="F244" s="3"/>
      <c r="G244" s="57"/>
      <c r="H244" s="57"/>
      <c r="I244" s="3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.75" customHeight="1">
      <c r="A245" s="1"/>
      <c r="B245" s="124"/>
      <c r="C245" s="1"/>
      <c r="D245" s="1"/>
      <c r="E245" s="3"/>
      <c r="F245" s="3"/>
      <c r="G245" s="57"/>
      <c r="H245" s="57"/>
      <c r="I245" s="3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.75" customHeight="1">
      <c r="A246" s="1"/>
      <c r="B246" s="124"/>
      <c r="C246" s="1"/>
      <c r="D246" s="1"/>
      <c r="E246" s="3"/>
      <c r="F246" s="3"/>
      <c r="G246" s="57"/>
      <c r="H246" s="57"/>
      <c r="I246" s="3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.75" customHeight="1">
      <c r="A247" s="1"/>
      <c r="B247" s="124"/>
      <c r="C247" s="1"/>
      <c r="D247" s="1"/>
      <c r="E247" s="3"/>
      <c r="F247" s="3"/>
      <c r="G247" s="57"/>
      <c r="H247" s="57"/>
      <c r="I247" s="3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.75" customHeight="1">
      <c r="A248" s="1"/>
      <c r="B248" s="124"/>
      <c r="C248" s="1"/>
      <c r="D248" s="1"/>
      <c r="E248" s="3"/>
      <c r="F248" s="3"/>
      <c r="G248" s="57"/>
      <c r="H248" s="57"/>
      <c r="I248" s="3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.75" customHeight="1">
      <c r="A249" s="1"/>
      <c r="B249" s="124"/>
      <c r="C249" s="1"/>
      <c r="D249" s="1"/>
      <c r="E249" s="3"/>
      <c r="F249" s="3"/>
      <c r="G249" s="57"/>
      <c r="H249" s="57"/>
      <c r="I249" s="3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5.75" customHeight="1">
      <c r="A250" s="1"/>
      <c r="B250" s="124"/>
      <c r="C250" s="1"/>
      <c r="D250" s="1"/>
      <c r="E250" s="3"/>
      <c r="F250" s="3"/>
      <c r="G250" s="57"/>
      <c r="H250" s="57"/>
      <c r="I250" s="3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5.75" customHeight="1">
      <c r="A251" s="1"/>
      <c r="B251" s="124"/>
      <c r="C251" s="1"/>
      <c r="D251" s="1"/>
      <c r="E251" s="3"/>
      <c r="F251" s="3"/>
      <c r="G251" s="57"/>
      <c r="H251" s="57"/>
      <c r="I251" s="3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5.75" customHeight="1">
      <c r="A252" s="1"/>
      <c r="B252" s="124"/>
      <c r="C252" s="1"/>
      <c r="D252" s="1"/>
      <c r="E252" s="3"/>
      <c r="F252" s="3"/>
      <c r="G252" s="57"/>
      <c r="H252" s="57"/>
      <c r="I252" s="3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5.75" customHeight="1">
      <c r="A253" s="1"/>
      <c r="B253" s="124"/>
      <c r="C253" s="1"/>
      <c r="D253" s="1"/>
      <c r="E253" s="3"/>
      <c r="F253" s="3"/>
      <c r="G253" s="57"/>
      <c r="H253" s="57"/>
      <c r="I253" s="3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5.75" customHeight="1">
      <c r="A254" s="1"/>
      <c r="B254" s="124"/>
      <c r="C254" s="1"/>
      <c r="D254" s="1"/>
      <c r="E254" s="3"/>
      <c r="F254" s="3"/>
      <c r="G254" s="57"/>
      <c r="H254" s="57"/>
      <c r="I254" s="3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5.75" customHeight="1">
      <c r="A255" s="1"/>
      <c r="B255" s="124"/>
      <c r="C255" s="1"/>
      <c r="D255" s="1"/>
      <c r="E255" s="3"/>
      <c r="F255" s="3"/>
      <c r="G255" s="57"/>
      <c r="H255" s="57"/>
      <c r="I255" s="3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5.75" customHeight="1">
      <c r="A256" s="1"/>
      <c r="B256" s="124"/>
      <c r="C256" s="1"/>
      <c r="D256" s="1"/>
      <c r="E256" s="3"/>
      <c r="F256" s="3"/>
      <c r="G256" s="57"/>
      <c r="H256" s="57"/>
      <c r="I256" s="3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5.75" customHeight="1">
      <c r="A257" s="1"/>
      <c r="B257" s="124"/>
      <c r="C257" s="1"/>
      <c r="D257" s="1"/>
      <c r="E257" s="3"/>
      <c r="F257" s="3"/>
      <c r="G257" s="57"/>
      <c r="H257" s="57"/>
      <c r="I257" s="3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5.75" customHeight="1">
      <c r="A258" s="1"/>
      <c r="B258" s="124"/>
      <c r="C258" s="1"/>
      <c r="D258" s="1"/>
      <c r="E258" s="3"/>
      <c r="F258" s="3"/>
      <c r="G258" s="57"/>
      <c r="H258" s="57"/>
      <c r="I258" s="3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5.75" customHeight="1">
      <c r="A259" s="1"/>
      <c r="B259" s="124"/>
      <c r="C259" s="1"/>
      <c r="D259" s="1"/>
      <c r="E259" s="3"/>
      <c r="F259" s="3"/>
      <c r="G259" s="57"/>
      <c r="H259" s="57"/>
      <c r="I259" s="3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5.75" customHeight="1">
      <c r="A260" s="1"/>
      <c r="B260" s="124"/>
      <c r="C260" s="1"/>
      <c r="D260" s="1"/>
      <c r="E260" s="3"/>
      <c r="F260" s="3"/>
      <c r="G260" s="57"/>
      <c r="H260" s="57"/>
      <c r="I260" s="3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5.75" customHeight="1">
      <c r="A261" s="1"/>
      <c r="B261" s="124"/>
      <c r="C261" s="1"/>
      <c r="D261" s="1"/>
      <c r="E261" s="3"/>
      <c r="F261" s="3"/>
      <c r="G261" s="57"/>
      <c r="H261" s="57"/>
      <c r="I261" s="3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5.75" customHeight="1">
      <c r="A262" s="1"/>
      <c r="B262" s="124"/>
      <c r="C262" s="1"/>
      <c r="D262" s="1"/>
      <c r="E262" s="3"/>
      <c r="F262" s="3"/>
      <c r="G262" s="57"/>
      <c r="H262" s="57"/>
      <c r="I262" s="3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5.75" customHeight="1">
      <c r="A263" s="1"/>
      <c r="B263" s="124"/>
      <c r="C263" s="1"/>
      <c r="D263" s="1"/>
      <c r="E263" s="3"/>
      <c r="F263" s="3"/>
      <c r="G263" s="57"/>
      <c r="H263" s="57"/>
      <c r="I263" s="3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5.75" customHeight="1">
      <c r="A264" s="1"/>
      <c r="B264" s="124"/>
      <c r="C264" s="1"/>
      <c r="D264" s="1"/>
      <c r="E264" s="3"/>
      <c r="F264" s="3"/>
      <c r="G264" s="57"/>
      <c r="H264" s="57"/>
      <c r="I264" s="3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5.75" customHeight="1">
      <c r="A265" s="1"/>
      <c r="B265" s="124"/>
      <c r="C265" s="1"/>
      <c r="D265" s="1"/>
      <c r="E265" s="3"/>
      <c r="F265" s="3"/>
      <c r="G265" s="57"/>
      <c r="H265" s="57"/>
      <c r="I265" s="3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5.75" customHeight="1">
      <c r="A266" s="1"/>
      <c r="B266" s="124"/>
      <c r="C266" s="1"/>
      <c r="D266" s="1"/>
      <c r="E266" s="3"/>
      <c r="F266" s="3"/>
      <c r="G266" s="57"/>
      <c r="H266" s="57"/>
      <c r="I266" s="3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5.75" customHeight="1">
      <c r="A267" s="1"/>
      <c r="B267" s="124"/>
      <c r="C267" s="1"/>
      <c r="D267" s="1"/>
      <c r="E267" s="3"/>
      <c r="F267" s="3"/>
      <c r="G267" s="57"/>
      <c r="H267" s="57"/>
      <c r="I267" s="3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5.75" customHeight="1">
      <c r="A268" s="1"/>
      <c r="B268" s="124"/>
      <c r="C268" s="1"/>
      <c r="D268" s="1"/>
      <c r="E268" s="3"/>
      <c r="F268" s="3"/>
      <c r="G268" s="57"/>
      <c r="H268" s="57"/>
      <c r="I268" s="3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5.75" customHeight="1">
      <c r="A269" s="1"/>
      <c r="B269" s="124"/>
      <c r="C269" s="1"/>
      <c r="D269" s="1"/>
      <c r="E269" s="3"/>
      <c r="F269" s="3"/>
      <c r="G269" s="57"/>
      <c r="H269" s="57"/>
      <c r="I269" s="3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5.75" customHeight="1">
      <c r="A270" s="1"/>
      <c r="B270" s="124"/>
      <c r="C270" s="1"/>
      <c r="D270" s="1"/>
      <c r="E270" s="3"/>
      <c r="F270" s="3"/>
      <c r="G270" s="57"/>
      <c r="H270" s="57"/>
      <c r="I270" s="3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5.75" customHeight="1">
      <c r="A271" s="1"/>
      <c r="B271" s="124"/>
      <c r="C271" s="1"/>
      <c r="D271" s="1"/>
      <c r="E271" s="3"/>
      <c r="F271" s="3"/>
      <c r="G271" s="57"/>
      <c r="H271" s="57"/>
      <c r="I271" s="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5.75" customHeight="1">
      <c r="A272" s="1"/>
      <c r="B272" s="124"/>
      <c r="C272" s="1"/>
      <c r="D272" s="1"/>
      <c r="E272" s="3"/>
      <c r="F272" s="3"/>
      <c r="G272" s="57"/>
      <c r="H272" s="57"/>
      <c r="I272" s="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5.75" customHeight="1">
      <c r="A273" s="1"/>
      <c r="B273" s="124"/>
      <c r="C273" s="1"/>
      <c r="D273" s="1"/>
      <c r="E273" s="3"/>
      <c r="F273" s="3"/>
      <c r="G273" s="57"/>
      <c r="H273" s="57"/>
      <c r="I273" s="3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5.75" customHeight="1">
      <c r="A274" s="1"/>
      <c r="B274" s="124"/>
      <c r="C274" s="1"/>
      <c r="D274" s="1"/>
      <c r="E274" s="3"/>
      <c r="F274" s="3"/>
      <c r="G274" s="57"/>
      <c r="H274" s="57"/>
      <c r="I274" s="3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5.75" customHeight="1">
      <c r="A275" s="1"/>
      <c r="B275" s="124"/>
      <c r="C275" s="1"/>
      <c r="D275" s="1"/>
      <c r="E275" s="3"/>
      <c r="F275" s="3"/>
      <c r="G275" s="57"/>
      <c r="H275" s="57"/>
      <c r="I275" s="3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5.75" customHeight="1">
      <c r="A276" s="1"/>
      <c r="B276" s="124"/>
      <c r="C276" s="1"/>
      <c r="D276" s="1"/>
      <c r="E276" s="3"/>
      <c r="F276" s="3"/>
      <c r="G276" s="57"/>
      <c r="H276" s="57"/>
      <c r="I276" s="3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5.75" customHeight="1">
      <c r="A277" s="1"/>
      <c r="B277" s="124"/>
      <c r="C277" s="1"/>
      <c r="D277" s="1"/>
      <c r="E277" s="3"/>
      <c r="F277" s="3"/>
      <c r="G277" s="57"/>
      <c r="H277" s="57"/>
      <c r="I277" s="3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5.75" customHeight="1">
      <c r="A278" s="1"/>
      <c r="B278" s="124"/>
      <c r="C278" s="1"/>
      <c r="D278" s="1"/>
      <c r="E278" s="3"/>
      <c r="F278" s="3"/>
      <c r="G278" s="57"/>
      <c r="H278" s="57"/>
      <c r="I278" s="3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5.75" customHeight="1">
      <c r="A279" s="1"/>
      <c r="B279" s="124"/>
      <c r="C279" s="1"/>
      <c r="D279" s="1"/>
      <c r="E279" s="3"/>
      <c r="F279" s="3"/>
      <c r="G279" s="57"/>
      <c r="H279" s="57"/>
      <c r="I279" s="3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5.75" customHeight="1">
      <c r="A280" s="1"/>
      <c r="B280" s="124"/>
      <c r="C280" s="1"/>
      <c r="D280" s="1"/>
      <c r="E280" s="3"/>
      <c r="F280" s="3"/>
      <c r="G280" s="57"/>
      <c r="H280" s="57"/>
      <c r="I280" s="3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5.75" customHeight="1">
      <c r="A281" s="1"/>
      <c r="B281" s="124"/>
      <c r="C281" s="1"/>
      <c r="D281" s="1"/>
      <c r="E281" s="3"/>
      <c r="F281" s="3"/>
      <c r="G281" s="57"/>
      <c r="H281" s="57"/>
      <c r="I281" s="3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5.75" customHeight="1">
      <c r="A282" s="1"/>
      <c r="B282" s="124"/>
      <c r="C282" s="1"/>
      <c r="D282" s="1"/>
      <c r="E282" s="3"/>
      <c r="F282" s="3"/>
      <c r="G282" s="57"/>
      <c r="H282" s="57"/>
      <c r="I282" s="3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5.75" customHeight="1">
      <c r="A283" s="1"/>
      <c r="B283" s="124"/>
      <c r="C283" s="1"/>
      <c r="D283" s="1"/>
      <c r="E283" s="3"/>
      <c r="F283" s="3"/>
      <c r="G283" s="57"/>
      <c r="H283" s="57"/>
      <c r="I283" s="3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5.75" customHeight="1">
      <c r="A284" s="1"/>
      <c r="B284" s="124"/>
      <c r="C284" s="1"/>
      <c r="D284" s="1"/>
      <c r="E284" s="3"/>
      <c r="F284" s="3"/>
      <c r="G284" s="57"/>
      <c r="H284" s="57"/>
      <c r="I284" s="3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5.75" customHeight="1">
      <c r="A285" s="1"/>
      <c r="B285" s="124"/>
      <c r="C285" s="1"/>
      <c r="D285" s="1"/>
      <c r="E285" s="3"/>
      <c r="F285" s="3"/>
      <c r="G285" s="57"/>
      <c r="H285" s="57"/>
      <c r="I285" s="3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5.75" customHeight="1">
      <c r="A286" s="1"/>
      <c r="B286" s="124"/>
      <c r="C286" s="1"/>
      <c r="D286" s="1"/>
      <c r="E286" s="3"/>
      <c r="F286" s="3"/>
      <c r="G286" s="57"/>
      <c r="H286" s="57"/>
      <c r="I286" s="3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5.75" customHeight="1">
      <c r="A287" s="1"/>
      <c r="B287" s="124"/>
      <c r="C287" s="1"/>
      <c r="D287" s="1"/>
      <c r="E287" s="3"/>
      <c r="F287" s="3"/>
      <c r="G287" s="57"/>
      <c r="H287" s="57"/>
      <c r="I287" s="3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5.75" customHeight="1">
      <c r="A288" s="1"/>
      <c r="B288" s="124"/>
      <c r="C288" s="1"/>
      <c r="D288" s="1"/>
      <c r="E288" s="3"/>
      <c r="F288" s="3"/>
      <c r="G288" s="57"/>
      <c r="H288" s="57"/>
      <c r="I288" s="3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5.75" customHeight="1">
      <c r="A289" s="1"/>
      <c r="B289" s="124"/>
      <c r="C289" s="1"/>
      <c r="D289" s="1"/>
      <c r="E289" s="3"/>
      <c r="F289" s="3"/>
      <c r="G289" s="57"/>
      <c r="H289" s="57"/>
      <c r="I289" s="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5.75" customHeight="1">
      <c r="A290" s="1"/>
      <c r="B290" s="124"/>
      <c r="C290" s="1"/>
      <c r="D290" s="1"/>
      <c r="E290" s="3"/>
      <c r="F290" s="3"/>
      <c r="G290" s="57"/>
      <c r="H290" s="57"/>
      <c r="I290" s="3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5.75" customHeight="1">
      <c r="A291" s="1"/>
      <c r="B291" s="124"/>
      <c r="C291" s="1"/>
      <c r="D291" s="1"/>
      <c r="E291" s="3"/>
      <c r="F291" s="3"/>
      <c r="G291" s="57"/>
      <c r="H291" s="57"/>
      <c r="I291" s="3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5.75" customHeight="1">
      <c r="A292" s="1"/>
      <c r="B292" s="124"/>
      <c r="C292" s="1"/>
      <c r="D292" s="1"/>
      <c r="E292" s="3"/>
      <c r="F292" s="3"/>
      <c r="G292" s="57"/>
      <c r="H292" s="57"/>
      <c r="I292" s="3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5.75" customHeight="1">
      <c r="A293" s="1"/>
      <c r="B293" s="124"/>
      <c r="C293" s="1"/>
      <c r="D293" s="1"/>
      <c r="E293" s="3"/>
      <c r="F293" s="3"/>
      <c r="G293" s="57"/>
      <c r="H293" s="57"/>
      <c r="I293" s="3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5.75" customHeight="1">
      <c r="A294" s="1"/>
      <c r="B294" s="124"/>
      <c r="C294" s="1"/>
      <c r="D294" s="1"/>
      <c r="E294" s="3"/>
      <c r="F294" s="3"/>
      <c r="G294" s="57"/>
      <c r="H294" s="57"/>
      <c r="I294" s="3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5.75" customHeight="1">
      <c r="A295" s="1"/>
      <c r="B295" s="124"/>
      <c r="C295" s="1"/>
      <c r="D295" s="1"/>
      <c r="E295" s="3"/>
      <c r="F295" s="3"/>
      <c r="G295" s="57"/>
      <c r="H295" s="57"/>
      <c r="I295" s="3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5.75" customHeight="1">
      <c r="A296" s="1"/>
      <c r="B296" s="124"/>
      <c r="C296" s="1"/>
      <c r="D296" s="1"/>
      <c r="E296" s="3"/>
      <c r="F296" s="3"/>
      <c r="G296" s="57"/>
      <c r="H296" s="57"/>
      <c r="I296" s="3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5.75" customHeight="1">
      <c r="A297" s="1"/>
      <c r="B297" s="124"/>
      <c r="C297" s="1"/>
      <c r="D297" s="1"/>
      <c r="E297" s="3"/>
      <c r="F297" s="3"/>
      <c r="G297" s="57"/>
      <c r="H297" s="57"/>
      <c r="I297" s="3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5.75" customHeight="1">
      <c r="A298" s="1"/>
      <c r="B298" s="124"/>
      <c r="C298" s="1"/>
      <c r="D298" s="1"/>
      <c r="E298" s="3"/>
      <c r="F298" s="3"/>
      <c r="G298" s="57"/>
      <c r="H298" s="57"/>
      <c r="I298" s="3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5.75" customHeight="1">
      <c r="A299" s="1"/>
      <c r="B299" s="124"/>
      <c r="C299" s="1"/>
      <c r="D299" s="1"/>
      <c r="E299" s="3"/>
      <c r="F299" s="3"/>
      <c r="G299" s="57"/>
      <c r="H299" s="57"/>
      <c r="I299" s="3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5.75" customHeight="1">
      <c r="A300" s="1"/>
      <c r="B300" s="124"/>
      <c r="C300" s="1"/>
      <c r="D300" s="1"/>
      <c r="E300" s="3"/>
      <c r="F300" s="3"/>
      <c r="G300" s="57"/>
      <c r="H300" s="57"/>
      <c r="I300" s="3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5.75" customHeight="1">
      <c r="A301" s="1"/>
      <c r="B301" s="124"/>
      <c r="C301" s="1"/>
      <c r="D301" s="1"/>
      <c r="E301" s="3"/>
      <c r="F301" s="3"/>
      <c r="G301" s="57"/>
      <c r="H301" s="57"/>
      <c r="I301" s="3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5.75" customHeight="1">
      <c r="A302" s="1"/>
      <c r="B302" s="124"/>
      <c r="C302" s="1"/>
      <c r="D302" s="1"/>
      <c r="E302" s="3"/>
      <c r="F302" s="3"/>
      <c r="G302" s="57"/>
      <c r="H302" s="57"/>
      <c r="I302" s="3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5.75" customHeight="1">
      <c r="A303" s="1"/>
      <c r="B303" s="124"/>
      <c r="C303" s="1"/>
      <c r="D303" s="1"/>
      <c r="E303" s="3"/>
      <c r="F303" s="3"/>
      <c r="G303" s="57"/>
      <c r="H303" s="57"/>
      <c r="I303" s="3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5.75" customHeight="1">
      <c r="A304" s="1"/>
      <c r="B304" s="124"/>
      <c r="C304" s="1"/>
      <c r="D304" s="1"/>
      <c r="E304" s="3"/>
      <c r="F304" s="3"/>
      <c r="G304" s="57"/>
      <c r="H304" s="57"/>
      <c r="I304" s="3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5.75" customHeight="1">
      <c r="A305" s="1"/>
      <c r="B305" s="124"/>
      <c r="C305" s="1"/>
      <c r="D305" s="1"/>
      <c r="E305" s="3"/>
      <c r="F305" s="3"/>
      <c r="G305" s="57"/>
      <c r="H305" s="57"/>
      <c r="I305" s="3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5.75" customHeight="1">
      <c r="A306" s="1"/>
      <c r="B306" s="124"/>
      <c r="C306" s="1"/>
      <c r="D306" s="1"/>
      <c r="E306" s="3"/>
      <c r="F306" s="3"/>
      <c r="G306" s="57"/>
      <c r="H306" s="57"/>
      <c r="I306" s="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5.75" customHeight="1">
      <c r="A307" s="1"/>
      <c r="B307" s="124"/>
      <c r="C307" s="1"/>
      <c r="D307" s="1"/>
      <c r="E307" s="3"/>
      <c r="F307" s="3"/>
      <c r="G307" s="57"/>
      <c r="H307" s="57"/>
      <c r="I307" s="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5.75" customHeight="1">
      <c r="A308" s="1"/>
      <c r="B308" s="124"/>
      <c r="C308" s="1"/>
      <c r="D308" s="1"/>
      <c r="E308" s="3"/>
      <c r="F308" s="3"/>
      <c r="G308" s="57"/>
      <c r="H308" s="57"/>
      <c r="I308" s="3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5.75" customHeight="1">
      <c r="A309" s="1"/>
      <c r="B309" s="124"/>
      <c r="C309" s="1"/>
      <c r="D309" s="1"/>
      <c r="E309" s="3"/>
      <c r="F309" s="3"/>
      <c r="G309" s="57"/>
      <c r="H309" s="57"/>
      <c r="I309" s="3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5.75" customHeight="1">
      <c r="A310" s="1"/>
      <c r="B310" s="124"/>
      <c r="C310" s="1"/>
      <c r="D310" s="1"/>
      <c r="E310" s="3"/>
      <c r="F310" s="3"/>
      <c r="G310" s="57"/>
      <c r="H310" s="57"/>
      <c r="I310" s="3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5.75" customHeight="1">
      <c r="A311" s="1"/>
      <c r="B311" s="124"/>
      <c r="C311" s="1"/>
      <c r="D311" s="1"/>
      <c r="E311" s="3"/>
      <c r="F311" s="3"/>
      <c r="G311" s="57"/>
      <c r="H311" s="57"/>
      <c r="I311" s="3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5.75" customHeight="1">
      <c r="A312" s="1"/>
      <c r="B312" s="124"/>
      <c r="C312" s="1"/>
      <c r="D312" s="1"/>
      <c r="E312" s="3"/>
      <c r="F312" s="3"/>
      <c r="G312" s="57"/>
      <c r="H312" s="57"/>
      <c r="I312" s="3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5.75" customHeight="1">
      <c r="A313" s="1"/>
      <c r="B313" s="124"/>
      <c r="C313" s="1"/>
      <c r="D313" s="1"/>
      <c r="E313" s="3"/>
      <c r="F313" s="3"/>
      <c r="G313" s="57"/>
      <c r="H313" s="57"/>
      <c r="I313" s="3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5.75" customHeight="1">
      <c r="A314" s="1"/>
      <c r="B314" s="124"/>
      <c r="C314" s="1"/>
      <c r="D314" s="1"/>
      <c r="E314" s="3"/>
      <c r="F314" s="3"/>
      <c r="G314" s="57"/>
      <c r="H314" s="57"/>
      <c r="I314" s="3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5.75" customHeight="1">
      <c r="A315" s="1"/>
      <c r="B315" s="124"/>
      <c r="C315" s="1"/>
      <c r="D315" s="1"/>
      <c r="E315" s="3"/>
      <c r="F315" s="3"/>
      <c r="G315" s="57"/>
      <c r="H315" s="57"/>
      <c r="I315" s="3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5.75" customHeight="1">
      <c r="A316" s="1"/>
      <c r="B316" s="124"/>
      <c r="C316" s="1"/>
      <c r="D316" s="1"/>
      <c r="E316" s="3"/>
      <c r="F316" s="3"/>
      <c r="G316" s="57"/>
      <c r="H316" s="57"/>
      <c r="I316" s="3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5.75" customHeight="1">
      <c r="A317" s="1"/>
      <c r="B317" s="124"/>
      <c r="C317" s="1"/>
      <c r="D317" s="1"/>
      <c r="E317" s="3"/>
      <c r="F317" s="3"/>
      <c r="G317" s="57"/>
      <c r="H317" s="57"/>
      <c r="I317" s="3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5.75" customHeight="1">
      <c r="A318" s="1"/>
      <c r="B318" s="124"/>
      <c r="C318" s="1"/>
      <c r="D318" s="1"/>
      <c r="E318" s="3"/>
      <c r="F318" s="3"/>
      <c r="G318" s="57"/>
      <c r="H318" s="57"/>
      <c r="I318" s="3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5.75" customHeight="1">
      <c r="A319" s="1"/>
      <c r="B319" s="124"/>
      <c r="C319" s="1"/>
      <c r="D319" s="1"/>
      <c r="E319" s="3"/>
      <c r="F319" s="3"/>
      <c r="G319" s="57"/>
      <c r="H319" s="57"/>
      <c r="I319" s="3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5.75" customHeight="1">
      <c r="A320" s="1"/>
      <c r="B320" s="124"/>
      <c r="C320" s="1"/>
      <c r="D320" s="1"/>
      <c r="E320" s="3"/>
      <c r="F320" s="3"/>
      <c r="G320" s="57"/>
      <c r="H320" s="57"/>
      <c r="I320" s="3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5.75" customHeight="1">
      <c r="A321" s="1"/>
      <c r="B321" s="124"/>
      <c r="C321" s="1"/>
      <c r="D321" s="1"/>
      <c r="E321" s="3"/>
      <c r="F321" s="3"/>
      <c r="G321" s="57"/>
      <c r="H321" s="57"/>
      <c r="I321" s="3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5.75" customHeight="1">
      <c r="A322" s="1"/>
      <c r="B322" s="124"/>
      <c r="C322" s="1"/>
      <c r="D322" s="1"/>
      <c r="E322" s="3"/>
      <c r="F322" s="3"/>
      <c r="G322" s="57"/>
      <c r="H322" s="57"/>
      <c r="I322" s="3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5.75" customHeight="1">
      <c r="A323" s="1"/>
      <c r="B323" s="124"/>
      <c r="C323" s="1"/>
      <c r="D323" s="1"/>
      <c r="E323" s="3"/>
      <c r="F323" s="3"/>
      <c r="G323" s="57"/>
      <c r="H323" s="57"/>
      <c r="I323" s="3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5.75" customHeight="1">
      <c r="A324" s="1"/>
      <c r="B324" s="124"/>
      <c r="C324" s="1"/>
      <c r="D324" s="1"/>
      <c r="E324" s="3"/>
      <c r="F324" s="3"/>
      <c r="G324" s="57"/>
      <c r="H324" s="57"/>
      <c r="I324" s="3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5.75" customHeight="1">
      <c r="A325" s="1"/>
      <c r="B325" s="124"/>
      <c r="C325" s="1"/>
      <c r="D325" s="1"/>
      <c r="E325" s="3"/>
      <c r="F325" s="3"/>
      <c r="G325" s="57"/>
      <c r="H325" s="57"/>
      <c r="I325" s="3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5.75" customHeight="1">
      <c r="A326" s="1"/>
      <c r="B326" s="124"/>
      <c r="C326" s="1"/>
      <c r="D326" s="1"/>
      <c r="E326" s="3"/>
      <c r="F326" s="3"/>
      <c r="G326" s="57"/>
      <c r="H326" s="57"/>
      <c r="I326" s="3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5.75" customHeight="1">
      <c r="A327" s="1"/>
      <c r="B327" s="124"/>
      <c r="C327" s="1"/>
      <c r="D327" s="1"/>
      <c r="E327" s="3"/>
      <c r="F327" s="3"/>
      <c r="G327" s="57"/>
      <c r="H327" s="57"/>
      <c r="I327" s="3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5.75" customHeight="1">
      <c r="A328" s="1"/>
      <c r="B328" s="124"/>
      <c r="C328" s="1"/>
      <c r="D328" s="1"/>
      <c r="E328" s="3"/>
      <c r="F328" s="3"/>
      <c r="G328" s="57"/>
      <c r="H328" s="57"/>
      <c r="I328" s="3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5.75" customHeight="1">
      <c r="A329" s="1"/>
      <c r="B329" s="124"/>
      <c r="C329" s="1"/>
      <c r="D329" s="1"/>
      <c r="E329" s="3"/>
      <c r="F329" s="3"/>
      <c r="G329" s="57"/>
      <c r="H329" s="57"/>
      <c r="I329" s="3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5.75" customHeight="1">
      <c r="A330" s="1"/>
      <c r="B330" s="124"/>
      <c r="C330" s="1"/>
      <c r="D330" s="1"/>
      <c r="E330" s="3"/>
      <c r="F330" s="3"/>
      <c r="G330" s="57"/>
      <c r="H330" s="57"/>
      <c r="I330" s="3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5.75" customHeight="1">
      <c r="A331" s="1"/>
      <c r="B331" s="124"/>
      <c r="C331" s="1"/>
      <c r="D331" s="1"/>
      <c r="E331" s="3"/>
      <c r="F331" s="3"/>
      <c r="G331" s="57"/>
      <c r="H331" s="57"/>
      <c r="I331" s="3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5.75" customHeight="1">
      <c r="A332" s="1"/>
      <c r="B332" s="124"/>
      <c r="C332" s="1"/>
      <c r="D332" s="1"/>
      <c r="E332" s="3"/>
      <c r="F332" s="3"/>
      <c r="G332" s="57"/>
      <c r="H332" s="57"/>
      <c r="I332" s="3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5.75" customHeight="1">
      <c r="A333" s="1"/>
      <c r="B333" s="124"/>
      <c r="C333" s="1"/>
      <c r="D333" s="1"/>
      <c r="E333" s="3"/>
      <c r="F333" s="3"/>
      <c r="G333" s="57"/>
      <c r="H333" s="57"/>
      <c r="I333" s="3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5.75" customHeight="1">
      <c r="A334" s="1"/>
      <c r="B334" s="124"/>
      <c r="C334" s="1"/>
      <c r="D334" s="1"/>
      <c r="E334" s="3"/>
      <c r="F334" s="3"/>
      <c r="G334" s="57"/>
      <c r="H334" s="57"/>
      <c r="I334" s="3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5.75" customHeight="1">
      <c r="A335" s="1"/>
      <c r="B335" s="124"/>
      <c r="C335" s="1"/>
      <c r="D335" s="1"/>
      <c r="E335" s="3"/>
      <c r="F335" s="3"/>
      <c r="G335" s="57"/>
      <c r="H335" s="57"/>
      <c r="I335" s="3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5.75" customHeight="1">
      <c r="A336" s="1"/>
      <c r="B336" s="124"/>
      <c r="C336" s="1"/>
      <c r="D336" s="1"/>
      <c r="E336" s="3"/>
      <c r="F336" s="3"/>
      <c r="G336" s="57"/>
      <c r="H336" s="57"/>
      <c r="I336" s="3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5.75" customHeight="1">
      <c r="A337" s="1"/>
      <c r="B337" s="124"/>
      <c r="C337" s="1"/>
      <c r="D337" s="1"/>
      <c r="E337" s="3"/>
      <c r="F337" s="3"/>
      <c r="G337" s="57"/>
      <c r="H337" s="57"/>
      <c r="I337" s="3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5.75" customHeight="1">
      <c r="A338" s="1"/>
      <c r="B338" s="124"/>
      <c r="C338" s="1"/>
      <c r="D338" s="1"/>
      <c r="E338" s="3"/>
      <c r="F338" s="3"/>
      <c r="G338" s="57"/>
      <c r="H338" s="57"/>
      <c r="I338" s="3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5.75" customHeight="1">
      <c r="A339" s="1"/>
      <c r="B339" s="124"/>
      <c r="C339" s="1"/>
      <c r="D339" s="1"/>
      <c r="E339" s="3"/>
      <c r="F339" s="3"/>
      <c r="G339" s="57"/>
      <c r="H339" s="57"/>
      <c r="I339" s="3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5.75" customHeight="1">
      <c r="A340" s="1"/>
      <c r="B340" s="124"/>
      <c r="C340" s="1"/>
      <c r="D340" s="1"/>
      <c r="E340" s="3"/>
      <c r="F340" s="3"/>
      <c r="G340" s="57"/>
      <c r="H340" s="57"/>
      <c r="I340" s="3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5.75" customHeight="1">
      <c r="A341" s="1"/>
      <c r="B341" s="124"/>
      <c r="C341" s="1"/>
      <c r="D341" s="1"/>
      <c r="E341" s="3"/>
      <c r="F341" s="3"/>
      <c r="G341" s="57"/>
      <c r="H341" s="57"/>
      <c r="I341" s="3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5.75" customHeight="1">
      <c r="A342" s="1"/>
      <c r="B342" s="124"/>
      <c r="C342" s="1"/>
      <c r="D342" s="1"/>
      <c r="E342" s="3"/>
      <c r="F342" s="3"/>
      <c r="G342" s="57"/>
      <c r="H342" s="57"/>
      <c r="I342" s="3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5.75" customHeight="1">
      <c r="A343" s="1"/>
      <c r="B343" s="124"/>
      <c r="C343" s="1"/>
      <c r="D343" s="1"/>
      <c r="E343" s="3"/>
      <c r="F343" s="3"/>
      <c r="G343" s="57"/>
      <c r="H343" s="57"/>
      <c r="I343" s="3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5.75" customHeight="1">
      <c r="A344" s="1"/>
      <c r="B344" s="124"/>
      <c r="C344" s="1"/>
      <c r="D344" s="1"/>
      <c r="E344" s="3"/>
      <c r="F344" s="3"/>
      <c r="G344" s="57"/>
      <c r="H344" s="57"/>
      <c r="I344" s="3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5.75" customHeight="1">
      <c r="A345" s="1"/>
      <c r="B345" s="124"/>
      <c r="C345" s="1"/>
      <c r="D345" s="1"/>
      <c r="E345" s="3"/>
      <c r="F345" s="3"/>
      <c r="G345" s="57"/>
      <c r="H345" s="57"/>
      <c r="I345" s="3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5.75" customHeight="1">
      <c r="A346" s="1"/>
      <c r="B346" s="124"/>
      <c r="C346" s="1"/>
      <c r="D346" s="1"/>
      <c r="E346" s="3"/>
      <c r="F346" s="3"/>
      <c r="G346" s="57"/>
      <c r="H346" s="57"/>
      <c r="I346" s="3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5.75" customHeight="1">
      <c r="A347" s="1"/>
      <c r="B347" s="124"/>
      <c r="C347" s="1"/>
      <c r="D347" s="1"/>
      <c r="E347" s="3"/>
      <c r="F347" s="3"/>
      <c r="G347" s="57"/>
      <c r="H347" s="57"/>
      <c r="I347" s="3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5.75" customHeight="1">
      <c r="A348" s="1"/>
      <c r="B348" s="124"/>
      <c r="C348" s="1"/>
      <c r="D348" s="1"/>
      <c r="E348" s="3"/>
      <c r="F348" s="3"/>
      <c r="G348" s="57"/>
      <c r="H348" s="57"/>
      <c r="I348" s="3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5.75" customHeight="1">
      <c r="A349" s="1"/>
      <c r="B349" s="124"/>
      <c r="C349" s="1"/>
      <c r="D349" s="1"/>
      <c r="E349" s="3"/>
      <c r="F349" s="3"/>
      <c r="G349" s="57"/>
      <c r="H349" s="57"/>
      <c r="I349" s="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5.75" customHeight="1">
      <c r="A350" s="1"/>
      <c r="B350" s="124"/>
      <c r="C350" s="1"/>
      <c r="D350" s="1"/>
      <c r="E350" s="3"/>
      <c r="F350" s="3"/>
      <c r="G350" s="57"/>
      <c r="H350" s="57"/>
      <c r="I350" s="3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5.75" customHeight="1">
      <c r="A351" s="1"/>
      <c r="B351" s="124"/>
      <c r="C351" s="1"/>
      <c r="D351" s="1"/>
      <c r="E351" s="3"/>
      <c r="F351" s="3"/>
      <c r="G351" s="57"/>
      <c r="H351" s="57"/>
      <c r="I351" s="3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5.75" customHeight="1">
      <c r="A352" s="1"/>
      <c r="B352" s="124"/>
      <c r="C352" s="1"/>
      <c r="D352" s="1"/>
      <c r="E352" s="3"/>
      <c r="F352" s="3"/>
      <c r="G352" s="57"/>
      <c r="H352" s="57"/>
      <c r="I352" s="3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5.75" customHeight="1">
      <c r="A353" s="1"/>
      <c r="B353" s="124"/>
      <c r="C353" s="1"/>
      <c r="D353" s="1"/>
      <c r="E353" s="3"/>
      <c r="F353" s="3"/>
      <c r="G353" s="57"/>
      <c r="H353" s="57"/>
      <c r="I353" s="3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5.75" customHeight="1">
      <c r="A354" s="1"/>
      <c r="B354" s="124"/>
      <c r="C354" s="1"/>
      <c r="D354" s="1"/>
      <c r="E354" s="3"/>
      <c r="F354" s="3"/>
      <c r="G354" s="57"/>
      <c r="H354" s="57"/>
      <c r="I354" s="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5.75" customHeight="1">
      <c r="A355" s="1"/>
      <c r="B355" s="124"/>
      <c r="C355" s="1"/>
      <c r="D355" s="1"/>
      <c r="E355" s="3"/>
      <c r="F355" s="3"/>
      <c r="G355" s="57"/>
      <c r="H355" s="57"/>
      <c r="I355" s="3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5.75" customHeight="1">
      <c r="A356" s="1"/>
      <c r="B356" s="124"/>
      <c r="C356" s="1"/>
      <c r="D356" s="1"/>
      <c r="E356" s="3"/>
      <c r="F356" s="3"/>
      <c r="G356" s="57"/>
      <c r="H356" s="57"/>
      <c r="I356" s="3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5.75" customHeight="1">
      <c r="A357" s="1"/>
      <c r="B357" s="124"/>
      <c r="C357" s="1"/>
      <c r="D357" s="1"/>
      <c r="E357" s="3"/>
      <c r="F357" s="3"/>
      <c r="G357" s="57"/>
      <c r="H357" s="57"/>
      <c r="I357" s="3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5.75" customHeight="1">
      <c r="A358" s="1"/>
      <c r="B358" s="124"/>
      <c r="C358" s="1"/>
      <c r="D358" s="1"/>
      <c r="E358" s="3"/>
      <c r="F358" s="3"/>
      <c r="G358" s="57"/>
      <c r="H358" s="57"/>
      <c r="I358" s="3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5.75" customHeight="1">
      <c r="A359" s="1"/>
      <c r="B359" s="124"/>
      <c r="C359" s="1"/>
      <c r="D359" s="1"/>
      <c r="E359" s="3"/>
      <c r="F359" s="3"/>
      <c r="G359" s="57"/>
      <c r="H359" s="57"/>
      <c r="I359" s="3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5.75" customHeight="1">
      <c r="A360" s="1"/>
      <c r="B360" s="124"/>
      <c r="C360" s="1"/>
      <c r="D360" s="1"/>
      <c r="E360" s="3"/>
      <c r="F360" s="3"/>
      <c r="G360" s="57"/>
      <c r="H360" s="57"/>
      <c r="I360" s="3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5.75" customHeight="1">
      <c r="A361" s="1"/>
      <c r="B361" s="124"/>
      <c r="C361" s="1"/>
      <c r="D361" s="1"/>
      <c r="E361" s="3"/>
      <c r="F361" s="3"/>
      <c r="G361" s="57"/>
      <c r="H361" s="57"/>
      <c r="I361" s="3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5.75" customHeight="1">
      <c r="A362" s="1"/>
      <c r="B362" s="124"/>
      <c r="C362" s="1"/>
      <c r="D362" s="1"/>
      <c r="E362" s="3"/>
      <c r="F362" s="3"/>
      <c r="G362" s="57"/>
      <c r="H362" s="57"/>
      <c r="I362" s="3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5.75" customHeight="1">
      <c r="A363" s="1"/>
      <c r="B363" s="124"/>
      <c r="C363" s="1"/>
      <c r="D363" s="1"/>
      <c r="E363" s="3"/>
      <c r="F363" s="3"/>
      <c r="G363" s="57"/>
      <c r="H363" s="57"/>
      <c r="I363" s="3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5.75" customHeight="1">
      <c r="A364" s="1"/>
      <c r="B364" s="124"/>
      <c r="C364" s="1"/>
      <c r="D364" s="1"/>
      <c r="E364" s="3"/>
      <c r="F364" s="3"/>
      <c r="G364" s="57"/>
      <c r="H364" s="57"/>
      <c r="I364" s="3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5.75" customHeight="1">
      <c r="A365" s="1"/>
      <c r="B365" s="124"/>
      <c r="C365" s="1"/>
      <c r="D365" s="1"/>
      <c r="E365" s="3"/>
      <c r="F365" s="3"/>
      <c r="G365" s="57"/>
      <c r="H365" s="57"/>
      <c r="I365" s="3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5.75" customHeight="1">
      <c r="A366" s="1"/>
      <c r="B366" s="124"/>
      <c r="C366" s="1"/>
      <c r="D366" s="1"/>
      <c r="E366" s="3"/>
      <c r="F366" s="3"/>
      <c r="G366" s="57"/>
      <c r="H366" s="57"/>
      <c r="I366" s="3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5.75" customHeight="1">
      <c r="A367" s="1"/>
      <c r="B367" s="124"/>
      <c r="C367" s="1"/>
      <c r="D367" s="1"/>
      <c r="E367" s="3"/>
      <c r="F367" s="3"/>
      <c r="G367" s="57"/>
      <c r="H367" s="57"/>
      <c r="I367" s="3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5.75" customHeight="1">
      <c r="A368" s="1"/>
      <c r="B368" s="124"/>
      <c r="C368" s="1"/>
      <c r="D368" s="1"/>
      <c r="E368" s="3"/>
      <c r="F368" s="3"/>
      <c r="G368" s="57"/>
      <c r="H368" s="57"/>
      <c r="I368" s="3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5.75" customHeight="1">
      <c r="A369" s="1"/>
      <c r="B369" s="124"/>
      <c r="C369" s="1"/>
      <c r="D369" s="1"/>
      <c r="E369" s="3"/>
      <c r="F369" s="3"/>
      <c r="G369" s="57"/>
      <c r="H369" s="57"/>
      <c r="I369" s="3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5.75" customHeight="1">
      <c r="A370" s="1"/>
      <c r="B370" s="124"/>
      <c r="C370" s="1"/>
      <c r="D370" s="1"/>
      <c r="E370" s="3"/>
      <c r="F370" s="3"/>
      <c r="G370" s="57"/>
      <c r="H370" s="57"/>
      <c r="I370" s="3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5.75" customHeight="1">
      <c r="A371" s="1"/>
      <c r="B371" s="124"/>
      <c r="C371" s="1"/>
      <c r="D371" s="1"/>
      <c r="E371" s="3"/>
      <c r="F371" s="3"/>
      <c r="G371" s="57"/>
      <c r="H371" s="57"/>
      <c r="I371" s="3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5.75" customHeight="1">
      <c r="A372" s="1"/>
      <c r="B372" s="124"/>
      <c r="C372" s="1"/>
      <c r="D372" s="1"/>
      <c r="E372" s="3"/>
      <c r="F372" s="3"/>
      <c r="G372" s="57"/>
      <c r="H372" s="57"/>
      <c r="I372" s="3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5.75" customHeight="1">
      <c r="A373" s="1"/>
      <c r="B373" s="124"/>
      <c r="C373" s="1"/>
      <c r="D373" s="1"/>
      <c r="E373" s="3"/>
      <c r="F373" s="3"/>
      <c r="G373" s="57"/>
      <c r="H373" s="57"/>
      <c r="I373" s="3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5.75" customHeight="1">
      <c r="A374" s="1"/>
      <c r="B374" s="124"/>
      <c r="C374" s="1"/>
      <c r="D374" s="1"/>
      <c r="E374" s="3"/>
      <c r="F374" s="3"/>
      <c r="G374" s="57"/>
      <c r="H374" s="57"/>
      <c r="I374" s="3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5.75" customHeight="1">
      <c r="A375" s="1"/>
      <c r="B375" s="124"/>
      <c r="C375" s="1"/>
      <c r="D375" s="1"/>
      <c r="E375" s="3"/>
      <c r="F375" s="3"/>
      <c r="G375" s="57"/>
      <c r="H375" s="57"/>
      <c r="I375" s="3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5.75" customHeight="1">
      <c r="A376" s="1"/>
      <c r="B376" s="124"/>
      <c r="C376" s="1"/>
      <c r="D376" s="1"/>
      <c r="E376" s="3"/>
      <c r="F376" s="3"/>
      <c r="G376" s="57"/>
      <c r="H376" s="57"/>
      <c r="I376" s="3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5.75" customHeight="1">
      <c r="A377" s="1"/>
      <c r="B377" s="124"/>
      <c r="C377" s="1"/>
      <c r="D377" s="1"/>
      <c r="E377" s="3"/>
      <c r="F377" s="3"/>
      <c r="G377" s="57"/>
      <c r="H377" s="57"/>
      <c r="I377" s="3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5.75" customHeight="1">
      <c r="A378" s="1"/>
      <c r="B378" s="124"/>
      <c r="C378" s="1"/>
      <c r="D378" s="1"/>
      <c r="E378" s="3"/>
      <c r="F378" s="3"/>
      <c r="G378" s="57"/>
      <c r="H378" s="57"/>
      <c r="I378" s="3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5.75" customHeight="1">
      <c r="A379" s="1"/>
      <c r="B379" s="124"/>
      <c r="C379" s="1"/>
      <c r="D379" s="1"/>
      <c r="E379" s="3"/>
      <c r="F379" s="3"/>
      <c r="G379" s="57"/>
      <c r="H379" s="57"/>
      <c r="I379" s="3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5.75" customHeight="1">
      <c r="A380" s="1"/>
      <c r="B380" s="124"/>
      <c r="C380" s="1"/>
      <c r="D380" s="1"/>
      <c r="E380" s="3"/>
      <c r="F380" s="3"/>
      <c r="G380" s="57"/>
      <c r="H380" s="57"/>
      <c r="I380" s="3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5.75" customHeight="1">
      <c r="A381" s="1"/>
      <c r="B381" s="124"/>
      <c r="C381" s="1"/>
      <c r="D381" s="1"/>
      <c r="E381" s="3"/>
      <c r="F381" s="3"/>
      <c r="G381" s="57"/>
      <c r="H381" s="57"/>
      <c r="I381" s="3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5.75" customHeight="1">
      <c r="A382" s="1"/>
      <c r="B382" s="124"/>
      <c r="C382" s="1"/>
      <c r="D382" s="1"/>
      <c r="E382" s="3"/>
      <c r="F382" s="3"/>
      <c r="G382" s="57"/>
      <c r="H382" s="57"/>
      <c r="I382" s="3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5.75" customHeight="1">
      <c r="A383" s="1"/>
      <c r="B383" s="124"/>
      <c r="C383" s="1"/>
      <c r="D383" s="1"/>
      <c r="E383" s="3"/>
      <c r="F383" s="3"/>
      <c r="G383" s="57"/>
      <c r="H383" s="57"/>
      <c r="I383" s="3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5.75" customHeight="1">
      <c r="A384" s="1"/>
      <c r="B384" s="124"/>
      <c r="C384" s="1"/>
      <c r="D384" s="1"/>
      <c r="E384" s="3"/>
      <c r="F384" s="3"/>
      <c r="G384" s="57"/>
      <c r="H384" s="57"/>
      <c r="I384" s="3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5.75" customHeight="1">
      <c r="A385" s="1"/>
      <c r="B385" s="124"/>
      <c r="C385" s="1"/>
      <c r="D385" s="1"/>
      <c r="E385" s="3"/>
      <c r="F385" s="3"/>
      <c r="G385" s="57"/>
      <c r="H385" s="57"/>
      <c r="I385" s="3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5.75" customHeight="1">
      <c r="A386" s="1"/>
      <c r="B386" s="124"/>
      <c r="C386" s="1"/>
      <c r="D386" s="1"/>
      <c r="E386" s="3"/>
      <c r="F386" s="3"/>
      <c r="G386" s="57"/>
      <c r="H386" s="57"/>
      <c r="I386" s="3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5.75" customHeight="1">
      <c r="A387" s="1"/>
      <c r="B387" s="124"/>
      <c r="C387" s="1"/>
      <c r="D387" s="1"/>
      <c r="E387" s="3"/>
      <c r="F387" s="3"/>
      <c r="G387" s="57"/>
      <c r="H387" s="57"/>
      <c r="I387" s="3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5.75" customHeight="1">
      <c r="A388" s="1"/>
      <c r="B388" s="124"/>
      <c r="C388" s="1"/>
      <c r="D388" s="1"/>
      <c r="E388" s="3"/>
      <c r="F388" s="3"/>
      <c r="G388" s="57"/>
      <c r="H388" s="57"/>
      <c r="I388" s="3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5.75" customHeight="1">
      <c r="A389" s="1"/>
      <c r="B389" s="124"/>
      <c r="C389" s="1"/>
      <c r="D389" s="1"/>
      <c r="E389" s="3"/>
      <c r="F389" s="3"/>
      <c r="G389" s="57"/>
      <c r="H389" s="57"/>
      <c r="I389" s="3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5.75" customHeight="1">
      <c r="A390" s="1"/>
      <c r="B390" s="124"/>
      <c r="C390" s="1"/>
      <c r="D390" s="1"/>
      <c r="E390" s="3"/>
      <c r="F390" s="3"/>
      <c r="G390" s="57"/>
      <c r="H390" s="57"/>
      <c r="I390" s="3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5.75" customHeight="1">
      <c r="A391" s="1"/>
      <c r="B391" s="124"/>
      <c r="C391" s="1"/>
      <c r="D391" s="1"/>
      <c r="E391" s="3"/>
      <c r="F391" s="3"/>
      <c r="G391" s="57"/>
      <c r="H391" s="57"/>
      <c r="I391" s="3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5.75" customHeight="1">
      <c r="A392" s="1"/>
      <c r="B392" s="124"/>
      <c r="C392" s="1"/>
      <c r="D392" s="1"/>
      <c r="E392" s="3"/>
      <c r="F392" s="3"/>
      <c r="G392" s="57"/>
      <c r="H392" s="57"/>
      <c r="I392" s="3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5.75" customHeight="1">
      <c r="A393" s="1"/>
      <c r="B393" s="124"/>
      <c r="C393" s="1"/>
      <c r="D393" s="1"/>
      <c r="E393" s="3"/>
      <c r="F393" s="3"/>
      <c r="G393" s="57"/>
      <c r="H393" s="57"/>
      <c r="I393" s="3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5.75" customHeight="1">
      <c r="A394" s="1"/>
      <c r="B394" s="124"/>
      <c r="C394" s="1"/>
      <c r="D394" s="1"/>
      <c r="E394" s="3"/>
      <c r="F394" s="3"/>
      <c r="G394" s="57"/>
      <c r="H394" s="57"/>
      <c r="I394" s="3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5.75" customHeight="1">
      <c r="A395" s="1"/>
      <c r="B395" s="124"/>
      <c r="C395" s="1"/>
      <c r="D395" s="1"/>
      <c r="E395" s="3"/>
      <c r="F395" s="3"/>
      <c r="G395" s="57"/>
      <c r="H395" s="57"/>
      <c r="I395" s="3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5.75" customHeight="1">
      <c r="A396" s="1"/>
      <c r="B396" s="124"/>
      <c r="C396" s="1"/>
      <c r="D396" s="1"/>
      <c r="E396" s="3"/>
      <c r="F396" s="3"/>
      <c r="G396" s="57"/>
      <c r="H396" s="57"/>
      <c r="I396" s="3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5.75" customHeight="1">
      <c r="A397" s="1"/>
      <c r="B397" s="124"/>
      <c r="C397" s="1"/>
      <c r="D397" s="1"/>
      <c r="E397" s="3"/>
      <c r="F397" s="3"/>
      <c r="G397" s="57"/>
      <c r="H397" s="57"/>
      <c r="I397" s="3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5.75" customHeight="1">
      <c r="A398" s="1"/>
      <c r="B398" s="124"/>
      <c r="C398" s="1"/>
      <c r="D398" s="1"/>
      <c r="E398" s="3"/>
      <c r="F398" s="3"/>
      <c r="G398" s="57"/>
      <c r="H398" s="57"/>
      <c r="I398" s="3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5.75" customHeight="1">
      <c r="A399" s="1"/>
      <c r="B399" s="124"/>
      <c r="C399" s="1"/>
      <c r="D399" s="1"/>
      <c r="E399" s="3"/>
      <c r="F399" s="3"/>
      <c r="G399" s="57"/>
      <c r="H399" s="57"/>
      <c r="I399" s="3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5.75" customHeight="1">
      <c r="A400" s="1"/>
      <c r="B400" s="124"/>
      <c r="C400" s="1"/>
      <c r="D400" s="1"/>
      <c r="E400" s="3"/>
      <c r="F400" s="3"/>
      <c r="G400" s="57"/>
      <c r="H400" s="57"/>
      <c r="I400" s="3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5.75" customHeight="1">
      <c r="A401" s="1"/>
      <c r="B401" s="124"/>
      <c r="C401" s="1"/>
      <c r="D401" s="1"/>
      <c r="E401" s="3"/>
      <c r="F401" s="3"/>
      <c r="G401" s="57"/>
      <c r="H401" s="57"/>
      <c r="I401" s="3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5.75" customHeight="1">
      <c r="A402" s="1"/>
      <c r="B402" s="124"/>
      <c r="C402" s="1"/>
      <c r="D402" s="1"/>
      <c r="E402" s="3"/>
      <c r="F402" s="3"/>
      <c r="G402" s="57"/>
      <c r="H402" s="57"/>
      <c r="I402" s="3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5.75" customHeight="1">
      <c r="A403" s="1"/>
      <c r="B403" s="124"/>
      <c r="C403" s="1"/>
      <c r="D403" s="1"/>
      <c r="E403" s="3"/>
      <c r="F403" s="3"/>
      <c r="G403" s="57"/>
      <c r="H403" s="57"/>
      <c r="I403" s="3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5.75" customHeight="1">
      <c r="A404" s="1"/>
      <c r="B404" s="124"/>
      <c r="C404" s="1"/>
      <c r="D404" s="1"/>
      <c r="E404" s="3"/>
      <c r="F404" s="3"/>
      <c r="G404" s="57"/>
      <c r="H404" s="57"/>
      <c r="I404" s="3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5.75" customHeight="1">
      <c r="A405" s="1"/>
      <c r="B405" s="124"/>
      <c r="C405" s="1"/>
      <c r="D405" s="1"/>
      <c r="E405" s="3"/>
      <c r="F405" s="3"/>
      <c r="G405" s="57"/>
      <c r="H405" s="57"/>
      <c r="I405" s="3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5.75" customHeight="1">
      <c r="A406" s="1"/>
      <c r="B406" s="124"/>
      <c r="C406" s="1"/>
      <c r="D406" s="1"/>
      <c r="E406" s="3"/>
      <c r="F406" s="3"/>
      <c r="G406" s="57"/>
      <c r="H406" s="57"/>
      <c r="I406" s="3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5.75" customHeight="1">
      <c r="A407" s="1"/>
      <c r="B407" s="124"/>
      <c r="C407" s="1"/>
      <c r="D407" s="1"/>
      <c r="E407" s="3"/>
      <c r="F407" s="3"/>
      <c r="G407" s="57"/>
      <c r="H407" s="57"/>
      <c r="I407" s="3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5.75" customHeight="1">
      <c r="A408" s="1"/>
      <c r="B408" s="124"/>
      <c r="C408" s="1"/>
      <c r="D408" s="1"/>
      <c r="E408" s="3"/>
      <c r="F408" s="3"/>
      <c r="G408" s="57"/>
      <c r="H408" s="57"/>
      <c r="I408" s="3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5.75" customHeight="1">
      <c r="A409" s="1"/>
      <c r="B409" s="124"/>
      <c r="C409" s="1"/>
      <c r="D409" s="1"/>
      <c r="E409" s="3"/>
      <c r="F409" s="3"/>
      <c r="G409" s="57"/>
      <c r="H409" s="57"/>
      <c r="I409" s="3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5.75" customHeight="1">
      <c r="A410" s="1"/>
      <c r="B410" s="124"/>
      <c r="C410" s="1"/>
      <c r="D410" s="1"/>
      <c r="E410" s="3"/>
      <c r="F410" s="3"/>
      <c r="G410" s="57"/>
      <c r="H410" s="57"/>
      <c r="I410" s="3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5.75" customHeight="1">
      <c r="A411" s="1"/>
      <c r="B411" s="124"/>
      <c r="C411" s="1"/>
      <c r="D411" s="1"/>
      <c r="E411" s="3"/>
      <c r="F411" s="3"/>
      <c r="G411" s="57"/>
      <c r="H411" s="57"/>
      <c r="I411" s="3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5.75" customHeight="1">
      <c r="A412" s="1"/>
      <c r="B412" s="124"/>
      <c r="C412" s="1"/>
      <c r="D412" s="1"/>
      <c r="E412" s="3"/>
      <c r="F412" s="3"/>
      <c r="G412" s="57"/>
      <c r="H412" s="57"/>
      <c r="I412" s="3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5.75" customHeight="1">
      <c r="A413" s="1"/>
      <c r="B413" s="124"/>
      <c r="C413" s="1"/>
      <c r="D413" s="1"/>
      <c r="E413" s="3"/>
      <c r="F413" s="3"/>
      <c r="G413" s="57"/>
      <c r="H413" s="57"/>
      <c r="I413" s="3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5.75" customHeight="1">
      <c r="A414" s="1"/>
      <c r="B414" s="124"/>
      <c r="C414" s="1"/>
      <c r="D414" s="1"/>
      <c r="E414" s="3"/>
      <c r="F414" s="3"/>
      <c r="G414" s="57"/>
      <c r="H414" s="57"/>
      <c r="I414" s="3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5.75" customHeight="1">
      <c r="A415" s="1"/>
      <c r="B415" s="124"/>
      <c r="C415" s="1"/>
      <c r="D415" s="1"/>
      <c r="E415" s="3"/>
      <c r="F415" s="3"/>
      <c r="G415" s="57"/>
      <c r="H415" s="57"/>
      <c r="I415" s="3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5.75" customHeight="1">
      <c r="A416" s="1"/>
      <c r="B416" s="124"/>
      <c r="C416" s="1"/>
      <c r="D416" s="1"/>
      <c r="E416" s="3"/>
      <c r="F416" s="3"/>
      <c r="G416" s="57"/>
      <c r="H416" s="57"/>
      <c r="I416" s="3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5.75" customHeight="1">
      <c r="A417" s="1"/>
      <c r="B417" s="124"/>
      <c r="C417" s="1"/>
      <c r="D417" s="1"/>
      <c r="E417" s="3"/>
      <c r="F417" s="3"/>
      <c r="G417" s="57"/>
      <c r="H417" s="57"/>
      <c r="I417" s="3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5.75" customHeight="1">
      <c r="A418" s="1"/>
      <c r="B418" s="124"/>
      <c r="C418" s="1"/>
      <c r="D418" s="1"/>
      <c r="E418" s="3"/>
      <c r="F418" s="3"/>
      <c r="G418" s="57"/>
      <c r="H418" s="57"/>
      <c r="I418" s="3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5.75" customHeight="1">
      <c r="A419" s="1"/>
      <c r="B419" s="124"/>
      <c r="C419" s="1"/>
      <c r="D419" s="1"/>
      <c r="E419" s="3"/>
      <c r="F419" s="3"/>
      <c r="G419" s="57"/>
      <c r="H419" s="57"/>
      <c r="I419" s="3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5.75" customHeight="1">
      <c r="A420" s="1"/>
      <c r="B420" s="124"/>
      <c r="C420" s="1"/>
      <c r="D420" s="1"/>
      <c r="E420" s="3"/>
      <c r="F420" s="3"/>
      <c r="G420" s="57"/>
      <c r="H420" s="57"/>
      <c r="I420" s="3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5.75" customHeight="1">
      <c r="A421" s="1"/>
      <c r="B421" s="124"/>
      <c r="C421" s="1"/>
      <c r="D421" s="1"/>
      <c r="E421" s="3"/>
      <c r="F421" s="3"/>
      <c r="G421" s="57"/>
      <c r="H421" s="57"/>
      <c r="I421" s="3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5.75" customHeight="1">
      <c r="A422" s="1"/>
      <c r="B422" s="124"/>
      <c r="C422" s="1"/>
      <c r="D422" s="1"/>
      <c r="E422" s="3"/>
      <c r="F422" s="3"/>
      <c r="G422" s="57"/>
      <c r="H422" s="57"/>
      <c r="I422" s="3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5.75" customHeight="1">
      <c r="A423" s="1"/>
      <c r="B423" s="124"/>
      <c r="C423" s="1"/>
      <c r="D423" s="1"/>
      <c r="E423" s="3"/>
      <c r="F423" s="3"/>
      <c r="G423" s="57"/>
      <c r="H423" s="57"/>
      <c r="I423" s="3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5.75" customHeight="1">
      <c r="A424" s="1"/>
      <c r="B424" s="124"/>
      <c r="C424" s="1"/>
      <c r="D424" s="1"/>
      <c r="E424" s="3"/>
      <c r="F424" s="3"/>
      <c r="G424" s="57"/>
      <c r="H424" s="57"/>
      <c r="I424" s="3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5.75" customHeight="1">
      <c r="A425" s="1"/>
      <c r="B425" s="124"/>
      <c r="C425" s="1"/>
      <c r="D425" s="1"/>
      <c r="E425" s="3"/>
      <c r="F425" s="3"/>
      <c r="G425" s="57"/>
      <c r="H425" s="57"/>
      <c r="I425" s="3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5.75" customHeight="1">
      <c r="A426" s="1"/>
      <c r="B426" s="124"/>
      <c r="C426" s="1"/>
      <c r="D426" s="1"/>
      <c r="E426" s="3"/>
      <c r="F426" s="3"/>
      <c r="G426" s="57"/>
      <c r="H426" s="57"/>
      <c r="I426" s="3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5.75" customHeight="1">
      <c r="A427" s="1"/>
      <c r="B427" s="124"/>
      <c r="C427" s="1"/>
      <c r="D427" s="1"/>
      <c r="E427" s="3"/>
      <c r="F427" s="3"/>
      <c r="G427" s="57"/>
      <c r="H427" s="57"/>
      <c r="I427" s="3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5.75" customHeight="1">
      <c r="A428" s="1"/>
      <c r="B428" s="124"/>
      <c r="C428" s="1"/>
      <c r="D428" s="1"/>
      <c r="E428" s="3"/>
      <c r="F428" s="3"/>
      <c r="G428" s="57"/>
      <c r="H428" s="57"/>
      <c r="I428" s="3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5.75" customHeight="1">
      <c r="A429" s="1"/>
      <c r="B429" s="124"/>
      <c r="C429" s="1"/>
      <c r="D429" s="1"/>
      <c r="E429" s="3"/>
      <c r="F429" s="3"/>
      <c r="G429" s="57"/>
      <c r="H429" s="57"/>
      <c r="I429" s="3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5.75" customHeight="1">
      <c r="A430" s="1"/>
      <c r="B430" s="124"/>
      <c r="C430" s="1"/>
      <c r="D430" s="1"/>
      <c r="E430" s="3"/>
      <c r="F430" s="3"/>
      <c r="G430" s="57"/>
      <c r="H430" s="57"/>
      <c r="I430" s="3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5.75" customHeight="1">
      <c r="A431" s="1"/>
      <c r="B431" s="124"/>
      <c r="C431" s="1"/>
      <c r="D431" s="1"/>
      <c r="E431" s="3"/>
      <c r="F431" s="3"/>
      <c r="G431" s="57"/>
      <c r="H431" s="57"/>
      <c r="I431" s="3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5.75" customHeight="1">
      <c r="A432" s="1"/>
      <c r="B432" s="124"/>
      <c r="C432" s="1"/>
      <c r="D432" s="1"/>
      <c r="E432" s="3"/>
      <c r="F432" s="3"/>
      <c r="G432" s="57"/>
      <c r="H432" s="57"/>
      <c r="I432" s="3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5.75" customHeight="1">
      <c r="A433" s="1"/>
      <c r="B433" s="124"/>
      <c r="C433" s="1"/>
      <c r="D433" s="1"/>
      <c r="E433" s="3"/>
      <c r="F433" s="3"/>
      <c r="G433" s="57"/>
      <c r="H433" s="57"/>
      <c r="I433" s="3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5.75" customHeight="1">
      <c r="A434" s="1"/>
      <c r="B434" s="124"/>
      <c r="C434" s="1"/>
      <c r="D434" s="1"/>
      <c r="E434" s="3"/>
      <c r="F434" s="3"/>
      <c r="G434" s="57"/>
      <c r="H434" s="57"/>
      <c r="I434" s="3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5.75" customHeight="1">
      <c r="A435" s="1"/>
      <c r="B435" s="124"/>
      <c r="C435" s="1"/>
      <c r="D435" s="1"/>
      <c r="E435" s="3"/>
      <c r="F435" s="3"/>
      <c r="G435" s="57"/>
      <c r="H435" s="57"/>
      <c r="I435" s="3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5.75" customHeight="1">
      <c r="A436" s="1"/>
      <c r="B436" s="124"/>
      <c r="C436" s="1"/>
      <c r="D436" s="1"/>
      <c r="E436" s="3"/>
      <c r="F436" s="3"/>
      <c r="G436" s="57"/>
      <c r="H436" s="57"/>
      <c r="I436" s="3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5.75" customHeight="1">
      <c r="A437" s="1"/>
      <c r="B437" s="124"/>
      <c r="C437" s="1"/>
      <c r="D437" s="1"/>
      <c r="E437" s="3"/>
      <c r="F437" s="3"/>
      <c r="G437" s="57"/>
      <c r="H437" s="57"/>
      <c r="I437" s="3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5.75" customHeight="1">
      <c r="A438" s="1"/>
      <c r="B438" s="124"/>
      <c r="C438" s="1"/>
      <c r="D438" s="1"/>
      <c r="E438" s="3"/>
      <c r="F438" s="3"/>
      <c r="G438" s="57"/>
      <c r="H438" s="57"/>
      <c r="I438" s="3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5.75" customHeight="1">
      <c r="A439" s="1"/>
      <c r="B439" s="124"/>
      <c r="C439" s="1"/>
      <c r="D439" s="1"/>
      <c r="E439" s="3"/>
      <c r="F439" s="3"/>
      <c r="G439" s="57"/>
      <c r="H439" s="57"/>
      <c r="I439" s="3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5.75" customHeight="1">
      <c r="A440" s="1"/>
      <c r="B440" s="124"/>
      <c r="C440" s="1"/>
      <c r="D440" s="1"/>
      <c r="E440" s="3"/>
      <c r="F440" s="3"/>
      <c r="G440" s="57"/>
      <c r="H440" s="57"/>
      <c r="I440" s="3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5.75" customHeight="1">
      <c r="A441" s="1"/>
      <c r="B441" s="124"/>
      <c r="C441" s="1"/>
      <c r="D441" s="1"/>
      <c r="E441" s="3"/>
      <c r="F441" s="3"/>
      <c r="G441" s="57"/>
      <c r="H441" s="57"/>
      <c r="I441" s="3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5.75" customHeight="1">
      <c r="A442" s="1"/>
      <c r="B442" s="124"/>
      <c r="C442" s="1"/>
      <c r="D442" s="1"/>
      <c r="E442" s="3"/>
      <c r="F442" s="3"/>
      <c r="G442" s="57"/>
      <c r="H442" s="57"/>
      <c r="I442" s="3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5.75" customHeight="1">
      <c r="A443" s="1"/>
      <c r="B443" s="124"/>
      <c r="C443" s="1"/>
      <c r="D443" s="1"/>
      <c r="E443" s="3"/>
      <c r="F443" s="3"/>
      <c r="G443" s="57"/>
      <c r="H443" s="57"/>
      <c r="I443" s="3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5.75" customHeight="1">
      <c r="A444" s="1"/>
      <c r="B444" s="124"/>
      <c r="C444" s="1"/>
      <c r="D444" s="1"/>
      <c r="E444" s="3"/>
      <c r="F444" s="3"/>
      <c r="G444" s="57"/>
      <c r="H444" s="57"/>
      <c r="I444" s="3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5.75" customHeight="1">
      <c r="A445" s="1"/>
      <c r="B445" s="124"/>
      <c r="C445" s="1"/>
      <c r="D445" s="1"/>
      <c r="E445" s="3"/>
      <c r="F445" s="3"/>
      <c r="G445" s="57"/>
      <c r="H445" s="57"/>
      <c r="I445" s="3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5.75" customHeight="1">
      <c r="A446" s="1"/>
      <c r="B446" s="124"/>
      <c r="C446" s="1"/>
      <c r="D446" s="1"/>
      <c r="E446" s="3"/>
      <c r="F446" s="3"/>
      <c r="G446" s="57"/>
      <c r="H446" s="57"/>
      <c r="I446" s="3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5.75" customHeight="1">
      <c r="A447" s="1"/>
      <c r="B447" s="124"/>
      <c r="C447" s="1"/>
      <c r="D447" s="1"/>
      <c r="E447" s="3"/>
      <c r="F447" s="3"/>
      <c r="G447" s="57"/>
      <c r="H447" s="57"/>
      <c r="I447" s="3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5.75" customHeight="1">
      <c r="A448" s="1"/>
      <c r="B448" s="124"/>
      <c r="C448" s="1"/>
      <c r="D448" s="1"/>
      <c r="E448" s="3"/>
      <c r="F448" s="3"/>
      <c r="G448" s="57"/>
      <c r="H448" s="57"/>
      <c r="I448" s="3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5.75" customHeight="1">
      <c r="A449" s="1"/>
      <c r="B449" s="124"/>
      <c r="C449" s="1"/>
      <c r="D449" s="1"/>
      <c r="E449" s="3"/>
      <c r="F449" s="3"/>
      <c r="G449" s="57"/>
      <c r="H449" s="57"/>
      <c r="I449" s="3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5.75" customHeight="1">
      <c r="A450" s="1"/>
      <c r="B450" s="124"/>
      <c r="C450" s="1"/>
      <c r="D450" s="1"/>
      <c r="E450" s="3"/>
      <c r="F450" s="3"/>
      <c r="G450" s="57"/>
      <c r="H450" s="57"/>
      <c r="I450" s="3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5.75" customHeight="1">
      <c r="A451" s="1"/>
      <c r="B451" s="124"/>
      <c r="C451" s="1"/>
      <c r="D451" s="1"/>
      <c r="E451" s="3"/>
      <c r="F451" s="3"/>
      <c r="G451" s="57"/>
      <c r="H451" s="57"/>
      <c r="I451" s="3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5.75" customHeight="1">
      <c r="A452" s="1"/>
      <c r="B452" s="124"/>
      <c r="C452" s="1"/>
      <c r="D452" s="1"/>
      <c r="E452" s="3"/>
      <c r="F452" s="3"/>
      <c r="G452" s="57"/>
      <c r="H452" s="57"/>
      <c r="I452" s="3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5.75" customHeight="1">
      <c r="A453" s="1"/>
      <c r="B453" s="124"/>
      <c r="C453" s="1"/>
      <c r="D453" s="1"/>
      <c r="E453" s="3"/>
      <c r="F453" s="3"/>
      <c r="G453" s="57"/>
      <c r="H453" s="57"/>
      <c r="I453" s="3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5.75" customHeight="1">
      <c r="A454" s="1"/>
      <c r="B454" s="124"/>
      <c r="C454" s="1"/>
      <c r="D454" s="1"/>
      <c r="E454" s="3"/>
      <c r="F454" s="3"/>
      <c r="G454" s="57"/>
      <c r="H454" s="57"/>
      <c r="I454" s="3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5.75" customHeight="1">
      <c r="A455" s="1"/>
      <c r="B455" s="124"/>
      <c r="C455" s="1"/>
      <c r="D455" s="1"/>
      <c r="E455" s="3"/>
      <c r="F455" s="3"/>
      <c r="G455" s="57"/>
      <c r="H455" s="57"/>
      <c r="I455" s="3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5.75" customHeight="1">
      <c r="A456" s="1"/>
      <c r="B456" s="124"/>
      <c r="C456" s="1"/>
      <c r="D456" s="1"/>
      <c r="E456" s="3"/>
      <c r="F456" s="3"/>
      <c r="G456" s="57"/>
      <c r="H456" s="57"/>
      <c r="I456" s="3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5.75" customHeight="1">
      <c r="A457" s="1"/>
      <c r="B457" s="124"/>
      <c r="C457" s="1"/>
      <c r="D457" s="1"/>
      <c r="E457" s="3"/>
      <c r="F457" s="3"/>
      <c r="G457" s="57"/>
      <c r="H457" s="57"/>
      <c r="I457" s="3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5.75" customHeight="1">
      <c r="A458" s="1"/>
      <c r="B458" s="124"/>
      <c r="C458" s="1"/>
      <c r="D458" s="1"/>
      <c r="E458" s="3"/>
      <c r="F458" s="3"/>
      <c r="G458" s="57"/>
      <c r="H458" s="57"/>
      <c r="I458" s="3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5.75" customHeight="1">
      <c r="A459" s="1"/>
      <c r="B459" s="124"/>
      <c r="C459" s="1"/>
      <c r="D459" s="1"/>
      <c r="E459" s="3"/>
      <c r="F459" s="3"/>
      <c r="G459" s="57"/>
      <c r="H459" s="57"/>
      <c r="I459" s="3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5.75" customHeight="1">
      <c r="A460" s="1"/>
      <c r="B460" s="124"/>
      <c r="C460" s="1"/>
      <c r="D460" s="1"/>
      <c r="E460" s="3"/>
      <c r="F460" s="3"/>
      <c r="G460" s="57"/>
      <c r="H460" s="57"/>
      <c r="I460" s="3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5.75" customHeight="1">
      <c r="A461" s="1"/>
      <c r="B461" s="124"/>
      <c r="C461" s="1"/>
      <c r="D461" s="1"/>
      <c r="E461" s="3"/>
      <c r="F461" s="3"/>
      <c r="G461" s="57"/>
      <c r="H461" s="57"/>
      <c r="I461" s="3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5.75" customHeight="1">
      <c r="A462" s="1"/>
      <c r="B462" s="124"/>
      <c r="C462" s="1"/>
      <c r="D462" s="1"/>
      <c r="E462" s="3"/>
      <c r="F462" s="3"/>
      <c r="G462" s="57"/>
      <c r="H462" s="57"/>
      <c r="I462" s="3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5.75" customHeight="1">
      <c r="A463" s="1"/>
      <c r="B463" s="124"/>
      <c r="C463" s="1"/>
      <c r="D463" s="1"/>
      <c r="E463" s="3"/>
      <c r="F463" s="3"/>
      <c r="G463" s="57"/>
      <c r="H463" s="57"/>
      <c r="I463" s="3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5.75" customHeight="1">
      <c r="A464" s="1"/>
      <c r="B464" s="124"/>
      <c r="C464" s="1"/>
      <c r="D464" s="1"/>
      <c r="E464" s="3"/>
      <c r="F464" s="3"/>
      <c r="G464" s="57"/>
      <c r="H464" s="57"/>
      <c r="I464" s="3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5.75" customHeight="1">
      <c r="A465" s="1"/>
      <c r="B465" s="124"/>
      <c r="C465" s="1"/>
      <c r="D465" s="1"/>
      <c r="E465" s="3"/>
      <c r="F465" s="3"/>
      <c r="G465" s="57"/>
      <c r="H465" s="57"/>
      <c r="I465" s="3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5.75" customHeight="1">
      <c r="A466" s="1"/>
      <c r="B466" s="124"/>
      <c r="C466" s="1"/>
      <c r="D466" s="1"/>
      <c r="E466" s="3"/>
      <c r="F466" s="3"/>
      <c r="G466" s="57"/>
      <c r="H466" s="57"/>
      <c r="I466" s="3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5.75" customHeight="1">
      <c r="A467" s="1"/>
      <c r="B467" s="124"/>
      <c r="C467" s="1"/>
      <c r="D467" s="1"/>
      <c r="E467" s="3"/>
      <c r="F467" s="3"/>
      <c r="G467" s="57"/>
      <c r="H467" s="57"/>
      <c r="I467" s="3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5.75" customHeight="1">
      <c r="A468" s="1"/>
      <c r="B468" s="124"/>
      <c r="C468" s="1"/>
      <c r="D468" s="1"/>
      <c r="E468" s="3"/>
      <c r="F468" s="3"/>
      <c r="G468" s="57"/>
      <c r="H468" s="57"/>
      <c r="I468" s="3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5.75" customHeight="1">
      <c r="A469" s="1"/>
      <c r="B469" s="124"/>
      <c r="C469" s="1"/>
      <c r="D469" s="1"/>
      <c r="E469" s="3"/>
      <c r="F469" s="3"/>
      <c r="G469" s="57"/>
      <c r="H469" s="57"/>
      <c r="I469" s="3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5.75" customHeight="1">
      <c r="A470" s="1"/>
      <c r="B470" s="124"/>
      <c r="C470" s="1"/>
      <c r="D470" s="1"/>
      <c r="E470" s="3"/>
      <c r="F470" s="3"/>
      <c r="G470" s="57"/>
      <c r="H470" s="57"/>
      <c r="I470" s="3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5.75" customHeight="1">
      <c r="A471" s="1"/>
      <c r="B471" s="124"/>
      <c r="C471" s="1"/>
      <c r="D471" s="1"/>
      <c r="E471" s="3"/>
      <c r="F471" s="3"/>
      <c r="G471" s="57"/>
      <c r="H471" s="57"/>
      <c r="I471" s="3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5.75" customHeight="1">
      <c r="A472" s="1"/>
      <c r="B472" s="124"/>
      <c r="C472" s="1"/>
      <c r="D472" s="1"/>
      <c r="E472" s="3"/>
      <c r="F472" s="3"/>
      <c r="G472" s="57"/>
      <c r="H472" s="57"/>
      <c r="I472" s="3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5.75" customHeight="1">
      <c r="A473" s="1"/>
      <c r="B473" s="124"/>
      <c r="C473" s="1"/>
      <c r="D473" s="1"/>
      <c r="E473" s="3"/>
      <c r="F473" s="3"/>
      <c r="G473" s="57"/>
      <c r="H473" s="57"/>
      <c r="I473" s="3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5.75" customHeight="1">
      <c r="A474" s="1"/>
      <c r="B474" s="124"/>
      <c r="C474" s="1"/>
      <c r="D474" s="1"/>
      <c r="E474" s="3"/>
      <c r="F474" s="3"/>
      <c r="G474" s="57"/>
      <c r="H474" s="57"/>
      <c r="I474" s="3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5.75" customHeight="1">
      <c r="A475" s="1"/>
      <c r="B475" s="124"/>
      <c r="C475" s="1"/>
      <c r="D475" s="1"/>
      <c r="E475" s="3"/>
      <c r="F475" s="3"/>
      <c r="G475" s="57"/>
      <c r="H475" s="57"/>
      <c r="I475" s="3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5.75" customHeight="1">
      <c r="A476" s="1"/>
      <c r="B476" s="124"/>
      <c r="C476" s="1"/>
      <c r="D476" s="1"/>
      <c r="E476" s="3"/>
      <c r="F476" s="3"/>
      <c r="G476" s="57"/>
      <c r="H476" s="57"/>
      <c r="I476" s="3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5.75" customHeight="1">
      <c r="A477" s="1"/>
      <c r="B477" s="124"/>
      <c r="C477" s="1"/>
      <c r="D477" s="1"/>
      <c r="E477" s="3"/>
      <c r="F477" s="3"/>
      <c r="G477" s="57"/>
      <c r="H477" s="57"/>
      <c r="I477" s="3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5.75" customHeight="1">
      <c r="A478" s="1"/>
      <c r="B478" s="124"/>
      <c r="C478" s="1"/>
      <c r="D478" s="1"/>
      <c r="E478" s="3"/>
      <c r="F478" s="3"/>
      <c r="G478" s="57"/>
      <c r="H478" s="57"/>
      <c r="I478" s="3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5.75" customHeight="1">
      <c r="A479" s="1"/>
      <c r="B479" s="124"/>
      <c r="C479" s="1"/>
      <c r="D479" s="1"/>
      <c r="E479" s="3"/>
      <c r="F479" s="3"/>
      <c r="G479" s="57"/>
      <c r="H479" s="57"/>
      <c r="I479" s="3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5.75" customHeight="1">
      <c r="A480" s="1"/>
      <c r="B480" s="124"/>
      <c r="C480" s="1"/>
      <c r="D480" s="1"/>
      <c r="E480" s="3"/>
      <c r="F480" s="3"/>
      <c r="G480" s="57"/>
      <c r="H480" s="57"/>
      <c r="I480" s="3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5.75" customHeight="1">
      <c r="A481" s="1"/>
      <c r="B481" s="124"/>
      <c r="C481" s="1"/>
      <c r="D481" s="1"/>
      <c r="E481" s="3"/>
      <c r="F481" s="3"/>
      <c r="G481" s="57"/>
      <c r="H481" s="57"/>
      <c r="I481" s="3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5.75" customHeight="1">
      <c r="A482" s="1"/>
      <c r="B482" s="124"/>
      <c r="C482" s="1"/>
      <c r="D482" s="1"/>
      <c r="E482" s="3"/>
      <c r="F482" s="3"/>
      <c r="G482" s="57"/>
      <c r="H482" s="57"/>
      <c r="I482" s="3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5.75" customHeight="1">
      <c r="A483" s="1"/>
      <c r="B483" s="124"/>
      <c r="C483" s="1"/>
      <c r="D483" s="1"/>
      <c r="E483" s="3"/>
      <c r="F483" s="3"/>
      <c r="G483" s="57"/>
      <c r="H483" s="57"/>
      <c r="I483" s="3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5.75" customHeight="1">
      <c r="A484" s="1"/>
      <c r="B484" s="124"/>
      <c r="C484" s="1"/>
      <c r="D484" s="1"/>
      <c r="E484" s="3"/>
      <c r="F484" s="3"/>
      <c r="G484" s="57"/>
      <c r="H484" s="57"/>
      <c r="I484" s="3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5.75" customHeight="1">
      <c r="A485" s="1"/>
      <c r="B485" s="124"/>
      <c r="C485" s="1"/>
      <c r="D485" s="1"/>
      <c r="E485" s="3"/>
      <c r="F485" s="3"/>
      <c r="G485" s="57"/>
      <c r="H485" s="57"/>
      <c r="I485" s="3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5.75" customHeight="1">
      <c r="A486" s="1"/>
      <c r="B486" s="124"/>
      <c r="C486" s="1"/>
      <c r="D486" s="1"/>
      <c r="E486" s="3"/>
      <c r="F486" s="3"/>
      <c r="G486" s="57"/>
      <c r="H486" s="57"/>
      <c r="I486" s="3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5.75" customHeight="1">
      <c r="A487" s="1"/>
      <c r="B487" s="124"/>
      <c r="C487" s="1"/>
      <c r="D487" s="1"/>
      <c r="E487" s="3"/>
      <c r="F487" s="3"/>
      <c r="G487" s="57"/>
      <c r="H487" s="57"/>
      <c r="I487" s="3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5.75" customHeight="1">
      <c r="A488" s="1"/>
      <c r="B488" s="124"/>
      <c r="C488" s="1"/>
      <c r="D488" s="1"/>
      <c r="E488" s="3"/>
      <c r="F488" s="3"/>
      <c r="G488" s="57"/>
      <c r="H488" s="57"/>
      <c r="I488" s="3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5.75" customHeight="1">
      <c r="A489" s="1"/>
      <c r="B489" s="124"/>
      <c r="C489" s="1"/>
      <c r="D489" s="1"/>
      <c r="E489" s="3"/>
      <c r="F489" s="3"/>
      <c r="G489" s="57"/>
      <c r="H489" s="57"/>
      <c r="I489" s="3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5.75" customHeight="1">
      <c r="A490" s="1"/>
      <c r="B490" s="124"/>
      <c r="C490" s="1"/>
      <c r="D490" s="1"/>
      <c r="E490" s="3"/>
      <c r="F490" s="3"/>
      <c r="G490" s="57"/>
      <c r="H490" s="57"/>
      <c r="I490" s="3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5.75" customHeight="1">
      <c r="A491" s="1"/>
      <c r="B491" s="124"/>
      <c r="C491" s="1"/>
      <c r="D491" s="1"/>
      <c r="E491" s="3"/>
      <c r="F491" s="3"/>
      <c r="G491" s="57"/>
      <c r="H491" s="57"/>
      <c r="I491" s="3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5.75" customHeight="1">
      <c r="A492" s="1"/>
      <c r="B492" s="124"/>
      <c r="C492" s="1"/>
      <c r="D492" s="1"/>
      <c r="E492" s="3"/>
      <c r="F492" s="3"/>
      <c r="G492" s="57"/>
      <c r="H492" s="57"/>
      <c r="I492" s="3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5.75" customHeight="1">
      <c r="A493" s="1"/>
      <c r="B493" s="124"/>
      <c r="C493" s="1"/>
      <c r="D493" s="1"/>
      <c r="E493" s="3"/>
      <c r="F493" s="3"/>
      <c r="G493" s="57"/>
      <c r="H493" s="57"/>
      <c r="I493" s="3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5.75" customHeight="1">
      <c r="A494" s="1"/>
      <c r="B494" s="124"/>
      <c r="C494" s="1"/>
      <c r="D494" s="1"/>
      <c r="E494" s="3"/>
      <c r="F494" s="3"/>
      <c r="G494" s="57"/>
      <c r="H494" s="57"/>
      <c r="I494" s="3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5.75" customHeight="1">
      <c r="A495" s="1"/>
      <c r="B495" s="124"/>
      <c r="C495" s="1"/>
      <c r="D495" s="1"/>
      <c r="E495" s="3"/>
      <c r="F495" s="3"/>
      <c r="G495" s="57"/>
      <c r="H495" s="57"/>
      <c r="I495" s="3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5.75" customHeight="1">
      <c r="A496" s="1"/>
      <c r="B496" s="124"/>
      <c r="C496" s="1"/>
      <c r="D496" s="1"/>
      <c r="E496" s="3"/>
      <c r="F496" s="3"/>
      <c r="G496" s="57"/>
      <c r="H496" s="57"/>
      <c r="I496" s="3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5.75" customHeight="1">
      <c r="A497" s="1"/>
      <c r="B497" s="124"/>
      <c r="C497" s="1"/>
      <c r="D497" s="1"/>
      <c r="E497" s="3"/>
      <c r="F497" s="3"/>
      <c r="G497" s="57"/>
      <c r="H497" s="57"/>
      <c r="I497" s="3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5.75" customHeight="1">
      <c r="A498" s="1"/>
      <c r="B498" s="124"/>
      <c r="C498" s="1"/>
      <c r="D498" s="1"/>
      <c r="E498" s="3"/>
      <c r="F498" s="3"/>
      <c r="G498" s="57"/>
      <c r="H498" s="57"/>
      <c r="I498" s="3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5.75" customHeight="1">
      <c r="A499" s="1"/>
      <c r="B499" s="124"/>
      <c r="C499" s="1"/>
      <c r="D499" s="1"/>
      <c r="E499" s="3"/>
      <c r="F499" s="3"/>
      <c r="G499" s="57"/>
      <c r="H499" s="57"/>
      <c r="I499" s="3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5.75" customHeight="1">
      <c r="A500" s="1"/>
      <c r="B500" s="124"/>
      <c r="C500" s="1"/>
      <c r="D500" s="1"/>
      <c r="E500" s="3"/>
      <c r="F500" s="3"/>
      <c r="G500" s="57"/>
      <c r="H500" s="57"/>
      <c r="I500" s="3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5.75" customHeight="1">
      <c r="A501" s="1"/>
      <c r="B501" s="124"/>
      <c r="C501" s="1"/>
      <c r="D501" s="1"/>
      <c r="E501" s="3"/>
      <c r="F501" s="3"/>
      <c r="G501" s="57"/>
      <c r="H501" s="57"/>
      <c r="I501" s="3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5.75" customHeight="1">
      <c r="A502" s="1"/>
      <c r="B502" s="124"/>
      <c r="C502" s="1"/>
      <c r="D502" s="1"/>
      <c r="E502" s="3"/>
      <c r="F502" s="3"/>
      <c r="G502" s="57"/>
      <c r="H502" s="57"/>
      <c r="I502" s="3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5.75" customHeight="1">
      <c r="A503" s="1"/>
      <c r="B503" s="124"/>
      <c r="C503" s="1"/>
      <c r="D503" s="1"/>
      <c r="E503" s="3"/>
      <c r="F503" s="3"/>
      <c r="G503" s="57"/>
      <c r="H503" s="57"/>
      <c r="I503" s="3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5.75" customHeight="1">
      <c r="A504" s="1"/>
      <c r="B504" s="124"/>
      <c r="C504" s="1"/>
      <c r="D504" s="1"/>
      <c r="E504" s="3"/>
      <c r="F504" s="3"/>
      <c r="G504" s="57"/>
      <c r="H504" s="57"/>
      <c r="I504" s="3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5.75" customHeight="1">
      <c r="A505" s="1"/>
      <c r="B505" s="124"/>
      <c r="C505" s="1"/>
      <c r="D505" s="1"/>
      <c r="E505" s="3"/>
      <c r="F505" s="3"/>
      <c r="G505" s="57"/>
      <c r="H505" s="57"/>
      <c r="I505" s="3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5.75" customHeight="1">
      <c r="A506" s="1"/>
      <c r="B506" s="124"/>
      <c r="C506" s="1"/>
      <c r="D506" s="1"/>
      <c r="E506" s="3"/>
      <c r="F506" s="3"/>
      <c r="G506" s="57"/>
      <c r="H506" s="57"/>
      <c r="I506" s="3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5.75" customHeight="1">
      <c r="A507" s="1"/>
      <c r="B507" s="124"/>
      <c r="C507" s="1"/>
      <c r="D507" s="1"/>
      <c r="E507" s="3"/>
      <c r="F507" s="3"/>
      <c r="G507" s="57"/>
      <c r="H507" s="57"/>
      <c r="I507" s="3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5.75" customHeight="1">
      <c r="A508" s="1"/>
      <c r="B508" s="124"/>
      <c r="C508" s="1"/>
      <c r="D508" s="1"/>
      <c r="E508" s="3"/>
      <c r="F508" s="3"/>
      <c r="G508" s="57"/>
      <c r="H508" s="57"/>
      <c r="I508" s="3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5.75" customHeight="1">
      <c r="A509" s="1"/>
      <c r="B509" s="124"/>
      <c r="C509" s="1"/>
      <c r="D509" s="1"/>
      <c r="E509" s="3"/>
      <c r="F509" s="3"/>
      <c r="G509" s="57"/>
      <c r="H509" s="57"/>
      <c r="I509" s="3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5.75" customHeight="1">
      <c r="A510" s="1"/>
      <c r="B510" s="124"/>
      <c r="C510" s="1"/>
      <c r="D510" s="1"/>
      <c r="E510" s="3"/>
      <c r="F510" s="3"/>
      <c r="G510" s="57"/>
      <c r="H510" s="57"/>
      <c r="I510" s="3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5.75" customHeight="1">
      <c r="A511" s="1"/>
      <c r="B511" s="124"/>
      <c r="C511" s="1"/>
      <c r="D511" s="1"/>
      <c r="E511" s="3"/>
      <c r="F511" s="3"/>
      <c r="G511" s="57"/>
      <c r="H511" s="57"/>
      <c r="I511" s="3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5.75" customHeight="1">
      <c r="A512" s="1"/>
      <c r="B512" s="124"/>
      <c r="C512" s="1"/>
      <c r="D512" s="1"/>
      <c r="E512" s="3"/>
      <c r="F512" s="3"/>
      <c r="G512" s="57"/>
      <c r="H512" s="57"/>
      <c r="I512" s="3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5.75" customHeight="1">
      <c r="A513" s="1"/>
      <c r="B513" s="124"/>
      <c r="C513" s="1"/>
      <c r="D513" s="1"/>
      <c r="E513" s="3"/>
      <c r="F513" s="3"/>
      <c r="G513" s="57"/>
      <c r="H513" s="57"/>
      <c r="I513" s="3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5.75" customHeight="1">
      <c r="A514" s="1"/>
      <c r="B514" s="124"/>
      <c r="C514" s="1"/>
      <c r="D514" s="1"/>
      <c r="E514" s="3"/>
      <c r="F514" s="3"/>
      <c r="G514" s="57"/>
      <c r="H514" s="57"/>
      <c r="I514" s="3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5.75" customHeight="1">
      <c r="A515" s="1"/>
      <c r="B515" s="124"/>
      <c r="C515" s="1"/>
      <c r="D515" s="1"/>
      <c r="E515" s="3"/>
      <c r="F515" s="3"/>
      <c r="G515" s="57"/>
      <c r="H515" s="57"/>
      <c r="I515" s="3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5.75" customHeight="1">
      <c r="A516" s="1"/>
      <c r="B516" s="124"/>
      <c r="C516" s="1"/>
      <c r="D516" s="1"/>
      <c r="E516" s="3"/>
      <c r="F516" s="3"/>
      <c r="G516" s="57"/>
      <c r="H516" s="57"/>
      <c r="I516" s="3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5.75" customHeight="1">
      <c r="A517" s="1"/>
      <c r="B517" s="124"/>
      <c r="C517" s="1"/>
      <c r="D517" s="1"/>
      <c r="E517" s="3"/>
      <c r="F517" s="3"/>
      <c r="G517" s="57"/>
      <c r="H517" s="57"/>
      <c r="I517" s="3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5.75" customHeight="1">
      <c r="A518" s="1"/>
      <c r="B518" s="124"/>
      <c r="C518" s="1"/>
      <c r="D518" s="1"/>
      <c r="E518" s="3"/>
      <c r="F518" s="3"/>
      <c r="G518" s="57"/>
      <c r="H518" s="57"/>
      <c r="I518" s="3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5.75" customHeight="1">
      <c r="A519" s="1"/>
      <c r="B519" s="124"/>
      <c r="C519" s="1"/>
      <c r="D519" s="1"/>
      <c r="E519" s="3"/>
      <c r="F519" s="3"/>
      <c r="G519" s="57"/>
      <c r="H519" s="57"/>
      <c r="I519" s="3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5.75" customHeight="1">
      <c r="A520" s="1"/>
      <c r="B520" s="124"/>
      <c r="C520" s="1"/>
      <c r="D520" s="1"/>
      <c r="E520" s="3"/>
      <c r="F520" s="3"/>
      <c r="G520" s="57"/>
      <c r="H520" s="57"/>
      <c r="I520" s="3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5.75" customHeight="1">
      <c r="A521" s="1"/>
      <c r="B521" s="124"/>
      <c r="C521" s="1"/>
      <c r="D521" s="1"/>
      <c r="E521" s="3"/>
      <c r="F521" s="3"/>
      <c r="G521" s="57"/>
      <c r="H521" s="57"/>
      <c r="I521" s="3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5.75" customHeight="1">
      <c r="A522" s="1"/>
      <c r="B522" s="124"/>
      <c r="C522" s="1"/>
      <c r="D522" s="1"/>
      <c r="E522" s="3"/>
      <c r="F522" s="3"/>
      <c r="G522" s="57"/>
      <c r="H522" s="57"/>
      <c r="I522" s="3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5.75" customHeight="1">
      <c r="A523" s="1"/>
      <c r="B523" s="124"/>
      <c r="C523" s="1"/>
      <c r="D523" s="1"/>
      <c r="E523" s="3"/>
      <c r="F523" s="3"/>
      <c r="G523" s="57"/>
      <c r="H523" s="57"/>
      <c r="I523" s="3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5.75" customHeight="1">
      <c r="A524" s="1"/>
      <c r="B524" s="124"/>
      <c r="C524" s="1"/>
      <c r="D524" s="1"/>
      <c r="E524" s="3"/>
      <c r="F524" s="3"/>
      <c r="G524" s="57"/>
      <c r="H524" s="57"/>
      <c r="I524" s="3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5.75" customHeight="1">
      <c r="A525" s="1"/>
      <c r="B525" s="124"/>
      <c r="C525" s="1"/>
      <c r="D525" s="1"/>
      <c r="E525" s="3"/>
      <c r="F525" s="3"/>
      <c r="G525" s="57"/>
      <c r="H525" s="57"/>
      <c r="I525" s="3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5.75" customHeight="1">
      <c r="A526" s="1"/>
      <c r="B526" s="124"/>
      <c r="C526" s="1"/>
      <c r="D526" s="1"/>
      <c r="E526" s="3"/>
      <c r="F526" s="3"/>
      <c r="G526" s="57"/>
      <c r="H526" s="57"/>
      <c r="I526" s="3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5.75" customHeight="1">
      <c r="A527" s="1"/>
      <c r="B527" s="124"/>
      <c r="C527" s="1"/>
      <c r="D527" s="1"/>
      <c r="E527" s="3"/>
      <c r="F527" s="3"/>
      <c r="G527" s="57"/>
      <c r="H527" s="57"/>
      <c r="I527" s="3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5.75" customHeight="1">
      <c r="A528" s="1"/>
      <c r="B528" s="124"/>
      <c r="C528" s="1"/>
      <c r="D528" s="1"/>
      <c r="E528" s="3"/>
      <c r="F528" s="3"/>
      <c r="G528" s="57"/>
      <c r="H528" s="57"/>
      <c r="I528" s="3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5.75" customHeight="1">
      <c r="A529" s="1"/>
      <c r="B529" s="124"/>
      <c r="C529" s="1"/>
      <c r="D529" s="1"/>
      <c r="E529" s="3"/>
      <c r="F529" s="3"/>
      <c r="G529" s="57"/>
      <c r="H529" s="57"/>
      <c r="I529" s="3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5.75" customHeight="1">
      <c r="A530" s="1"/>
      <c r="B530" s="124"/>
      <c r="C530" s="1"/>
      <c r="D530" s="1"/>
      <c r="E530" s="3"/>
      <c r="F530" s="3"/>
      <c r="G530" s="57"/>
      <c r="H530" s="57"/>
      <c r="I530" s="3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5.75" customHeight="1">
      <c r="A531" s="1"/>
      <c r="B531" s="124"/>
      <c r="C531" s="1"/>
      <c r="D531" s="1"/>
      <c r="E531" s="3"/>
      <c r="F531" s="3"/>
      <c r="G531" s="57"/>
      <c r="H531" s="57"/>
      <c r="I531" s="3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5.75" customHeight="1">
      <c r="A532" s="1"/>
      <c r="B532" s="124"/>
      <c r="C532" s="1"/>
      <c r="D532" s="1"/>
      <c r="E532" s="3"/>
      <c r="F532" s="3"/>
      <c r="G532" s="57"/>
      <c r="H532" s="57"/>
      <c r="I532" s="3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5.75" customHeight="1">
      <c r="A533" s="1"/>
      <c r="B533" s="124"/>
      <c r="C533" s="1"/>
      <c r="D533" s="1"/>
      <c r="E533" s="3"/>
      <c r="F533" s="3"/>
      <c r="G533" s="57"/>
      <c r="H533" s="57"/>
      <c r="I533" s="3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5.75" customHeight="1">
      <c r="A534" s="1"/>
      <c r="B534" s="124"/>
      <c r="C534" s="1"/>
      <c r="D534" s="1"/>
      <c r="E534" s="3"/>
      <c r="F534" s="3"/>
      <c r="G534" s="57"/>
      <c r="H534" s="57"/>
      <c r="I534" s="3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5.75" customHeight="1">
      <c r="A535" s="1"/>
      <c r="B535" s="124"/>
      <c r="C535" s="1"/>
      <c r="D535" s="1"/>
      <c r="E535" s="3"/>
      <c r="F535" s="3"/>
      <c r="G535" s="57"/>
      <c r="H535" s="57"/>
      <c r="I535" s="3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5.75" customHeight="1">
      <c r="A536" s="1"/>
      <c r="B536" s="124"/>
      <c r="C536" s="1"/>
      <c r="D536" s="1"/>
      <c r="E536" s="3"/>
      <c r="F536" s="3"/>
      <c r="G536" s="57"/>
      <c r="H536" s="57"/>
      <c r="I536" s="3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5.75" customHeight="1">
      <c r="A537" s="1"/>
      <c r="B537" s="124"/>
      <c r="C537" s="1"/>
      <c r="D537" s="1"/>
      <c r="E537" s="3"/>
      <c r="F537" s="3"/>
      <c r="G537" s="57"/>
      <c r="H537" s="57"/>
      <c r="I537" s="3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5.75" customHeight="1">
      <c r="A538" s="1"/>
      <c r="B538" s="124"/>
      <c r="C538" s="1"/>
      <c r="D538" s="1"/>
      <c r="E538" s="3"/>
      <c r="F538" s="3"/>
      <c r="G538" s="57"/>
      <c r="H538" s="57"/>
      <c r="I538" s="3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5.75" customHeight="1">
      <c r="A539" s="1"/>
      <c r="B539" s="124"/>
      <c r="C539" s="1"/>
      <c r="D539" s="1"/>
      <c r="E539" s="3"/>
      <c r="F539" s="3"/>
      <c r="G539" s="57"/>
      <c r="H539" s="57"/>
      <c r="I539" s="3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5.75" customHeight="1">
      <c r="A540" s="1"/>
      <c r="B540" s="124"/>
      <c r="C540" s="1"/>
      <c r="D540" s="1"/>
      <c r="E540" s="3"/>
      <c r="F540" s="3"/>
      <c r="G540" s="57"/>
      <c r="H540" s="57"/>
      <c r="I540" s="3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5.75" customHeight="1">
      <c r="A541" s="1"/>
      <c r="B541" s="124"/>
      <c r="C541" s="1"/>
      <c r="D541" s="1"/>
      <c r="E541" s="3"/>
      <c r="F541" s="3"/>
      <c r="G541" s="57"/>
      <c r="H541" s="57"/>
      <c r="I541" s="3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5.75" customHeight="1">
      <c r="A542" s="1"/>
      <c r="B542" s="124"/>
      <c r="C542" s="1"/>
      <c r="D542" s="1"/>
      <c r="E542" s="3"/>
      <c r="F542" s="3"/>
      <c r="G542" s="57"/>
      <c r="H542" s="57"/>
      <c r="I542" s="3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5.75" customHeight="1">
      <c r="A543" s="1"/>
      <c r="B543" s="124"/>
      <c r="C543" s="1"/>
      <c r="D543" s="1"/>
      <c r="E543" s="3"/>
      <c r="F543" s="3"/>
      <c r="G543" s="57"/>
      <c r="H543" s="57"/>
      <c r="I543" s="3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5.75" customHeight="1">
      <c r="A544" s="1"/>
      <c r="B544" s="124"/>
      <c r="C544" s="1"/>
      <c r="D544" s="1"/>
      <c r="E544" s="3"/>
      <c r="F544" s="3"/>
      <c r="G544" s="57"/>
      <c r="H544" s="57"/>
      <c r="I544" s="3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5.75" customHeight="1">
      <c r="A545" s="1"/>
      <c r="B545" s="124"/>
      <c r="C545" s="1"/>
      <c r="D545" s="1"/>
      <c r="E545" s="3"/>
      <c r="F545" s="3"/>
      <c r="G545" s="57"/>
      <c r="H545" s="57"/>
      <c r="I545" s="3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5.75" customHeight="1">
      <c r="A546" s="1"/>
      <c r="B546" s="124"/>
      <c r="C546" s="1"/>
      <c r="D546" s="1"/>
      <c r="E546" s="3"/>
      <c r="F546" s="3"/>
      <c r="G546" s="57"/>
      <c r="H546" s="57"/>
      <c r="I546" s="3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5.75" customHeight="1">
      <c r="A547" s="1"/>
      <c r="B547" s="124"/>
      <c r="C547" s="1"/>
      <c r="D547" s="1"/>
      <c r="E547" s="3"/>
      <c r="F547" s="3"/>
      <c r="G547" s="57"/>
      <c r="H547" s="57"/>
      <c r="I547" s="3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5.75" customHeight="1">
      <c r="A548" s="1"/>
      <c r="B548" s="124"/>
      <c r="C548" s="1"/>
      <c r="D548" s="1"/>
      <c r="E548" s="3"/>
      <c r="F548" s="3"/>
      <c r="G548" s="57"/>
      <c r="H548" s="57"/>
      <c r="I548" s="3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5.75" customHeight="1">
      <c r="A549" s="1"/>
      <c r="B549" s="124"/>
      <c r="C549" s="1"/>
      <c r="D549" s="1"/>
      <c r="E549" s="3"/>
      <c r="F549" s="3"/>
      <c r="G549" s="57"/>
      <c r="H549" s="57"/>
      <c r="I549" s="3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5.75" customHeight="1">
      <c r="A550" s="1"/>
      <c r="B550" s="124"/>
      <c r="C550" s="1"/>
      <c r="D550" s="1"/>
      <c r="E550" s="3"/>
      <c r="F550" s="3"/>
      <c r="G550" s="57"/>
      <c r="H550" s="57"/>
      <c r="I550" s="3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5.75" customHeight="1">
      <c r="A551" s="1"/>
      <c r="B551" s="124"/>
      <c r="C551" s="1"/>
      <c r="D551" s="1"/>
      <c r="E551" s="3"/>
      <c r="F551" s="3"/>
      <c r="G551" s="57"/>
      <c r="H551" s="57"/>
      <c r="I551" s="3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5.75" customHeight="1">
      <c r="A552" s="1"/>
      <c r="B552" s="124"/>
      <c r="C552" s="1"/>
      <c r="D552" s="1"/>
      <c r="E552" s="3"/>
      <c r="F552" s="3"/>
      <c r="G552" s="57"/>
      <c r="H552" s="57"/>
      <c r="I552" s="3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5.75" customHeight="1">
      <c r="A553" s="1"/>
      <c r="B553" s="124"/>
      <c r="C553" s="1"/>
      <c r="D553" s="1"/>
      <c r="E553" s="3"/>
      <c r="F553" s="3"/>
      <c r="G553" s="57"/>
      <c r="H553" s="57"/>
      <c r="I553" s="3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5.75" customHeight="1">
      <c r="A554" s="1"/>
      <c r="B554" s="124"/>
      <c r="C554" s="1"/>
      <c r="D554" s="1"/>
      <c r="E554" s="3"/>
      <c r="F554" s="3"/>
      <c r="G554" s="57"/>
      <c r="H554" s="57"/>
      <c r="I554" s="3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5.75" customHeight="1">
      <c r="A555" s="1"/>
      <c r="B555" s="124"/>
      <c r="C555" s="1"/>
      <c r="D555" s="1"/>
      <c r="E555" s="3"/>
      <c r="F555" s="3"/>
      <c r="G555" s="57"/>
      <c r="H555" s="57"/>
      <c r="I555" s="3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5.75" customHeight="1">
      <c r="A556" s="1"/>
      <c r="B556" s="124"/>
      <c r="C556" s="1"/>
      <c r="D556" s="1"/>
      <c r="E556" s="3"/>
      <c r="F556" s="3"/>
      <c r="G556" s="57"/>
      <c r="H556" s="57"/>
      <c r="I556" s="3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5.75" customHeight="1">
      <c r="A557" s="1"/>
      <c r="B557" s="124"/>
      <c r="C557" s="1"/>
      <c r="D557" s="1"/>
      <c r="E557" s="3"/>
      <c r="F557" s="3"/>
      <c r="G557" s="57"/>
      <c r="H557" s="57"/>
      <c r="I557" s="3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5.75" customHeight="1">
      <c r="A558" s="1"/>
      <c r="B558" s="124"/>
      <c r="C558" s="1"/>
      <c r="D558" s="1"/>
      <c r="E558" s="3"/>
      <c r="F558" s="3"/>
      <c r="G558" s="57"/>
      <c r="H558" s="57"/>
      <c r="I558" s="3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5.75" customHeight="1">
      <c r="A559" s="1"/>
      <c r="B559" s="124"/>
      <c r="C559" s="1"/>
      <c r="D559" s="1"/>
      <c r="E559" s="3"/>
      <c r="F559" s="3"/>
      <c r="G559" s="57"/>
      <c r="H559" s="57"/>
      <c r="I559" s="3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5.75" customHeight="1">
      <c r="A560" s="1"/>
      <c r="B560" s="124"/>
      <c r="C560" s="1"/>
      <c r="D560" s="1"/>
      <c r="E560" s="3"/>
      <c r="F560" s="3"/>
      <c r="G560" s="57"/>
      <c r="H560" s="57"/>
      <c r="I560" s="3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5.75" customHeight="1">
      <c r="A561" s="1"/>
      <c r="B561" s="124"/>
      <c r="C561" s="1"/>
      <c r="D561" s="1"/>
      <c r="E561" s="3"/>
      <c r="F561" s="3"/>
      <c r="G561" s="57"/>
      <c r="H561" s="57"/>
      <c r="I561" s="3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5.75" customHeight="1">
      <c r="A562" s="1"/>
      <c r="B562" s="124"/>
      <c r="C562" s="1"/>
      <c r="D562" s="1"/>
      <c r="E562" s="3"/>
      <c r="F562" s="3"/>
      <c r="G562" s="57"/>
      <c r="H562" s="57"/>
      <c r="I562" s="3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5.75" customHeight="1">
      <c r="A563" s="1"/>
      <c r="B563" s="124"/>
      <c r="C563" s="1"/>
      <c r="D563" s="1"/>
      <c r="E563" s="3"/>
      <c r="F563" s="3"/>
      <c r="G563" s="57"/>
      <c r="H563" s="57"/>
      <c r="I563" s="3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5.75" customHeight="1">
      <c r="A564" s="1"/>
      <c r="B564" s="124"/>
      <c r="C564" s="1"/>
      <c r="D564" s="1"/>
      <c r="E564" s="3"/>
      <c r="F564" s="3"/>
      <c r="G564" s="57"/>
      <c r="H564" s="57"/>
      <c r="I564" s="3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5.75" customHeight="1">
      <c r="A565" s="1"/>
      <c r="B565" s="124"/>
      <c r="C565" s="1"/>
      <c r="D565" s="1"/>
      <c r="E565" s="3"/>
      <c r="F565" s="3"/>
      <c r="G565" s="57"/>
      <c r="H565" s="57"/>
      <c r="I565" s="3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5.75" customHeight="1">
      <c r="A566" s="1"/>
      <c r="B566" s="124"/>
      <c r="C566" s="1"/>
      <c r="D566" s="1"/>
      <c r="E566" s="3"/>
      <c r="F566" s="3"/>
      <c r="G566" s="57"/>
      <c r="H566" s="57"/>
      <c r="I566" s="3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5.75" customHeight="1">
      <c r="A567" s="1"/>
      <c r="B567" s="124"/>
      <c r="C567" s="1"/>
      <c r="D567" s="1"/>
      <c r="E567" s="3"/>
      <c r="F567" s="3"/>
      <c r="G567" s="57"/>
      <c r="H567" s="57"/>
      <c r="I567" s="3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5.75" customHeight="1">
      <c r="A568" s="1"/>
      <c r="B568" s="124"/>
      <c r="C568" s="1"/>
      <c r="D568" s="1"/>
      <c r="E568" s="3"/>
      <c r="F568" s="3"/>
      <c r="G568" s="57"/>
      <c r="H568" s="57"/>
      <c r="I568" s="3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5.75" customHeight="1">
      <c r="A569" s="1"/>
      <c r="B569" s="124"/>
      <c r="C569" s="1"/>
      <c r="D569" s="1"/>
      <c r="E569" s="3"/>
      <c r="F569" s="3"/>
      <c r="G569" s="57"/>
      <c r="H569" s="57"/>
      <c r="I569" s="3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5.75" customHeight="1">
      <c r="A570" s="1"/>
      <c r="B570" s="124"/>
      <c r="C570" s="1"/>
      <c r="D570" s="1"/>
      <c r="E570" s="3"/>
      <c r="F570" s="3"/>
      <c r="G570" s="57"/>
      <c r="H570" s="57"/>
      <c r="I570" s="3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5.75" customHeight="1">
      <c r="A571" s="1"/>
      <c r="B571" s="124"/>
      <c r="C571" s="1"/>
      <c r="D571" s="1"/>
      <c r="E571" s="3"/>
      <c r="F571" s="3"/>
      <c r="G571" s="57"/>
      <c r="H571" s="57"/>
      <c r="I571" s="3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5.75" customHeight="1">
      <c r="A572" s="1"/>
      <c r="B572" s="124"/>
      <c r="C572" s="1"/>
      <c r="D572" s="1"/>
      <c r="E572" s="3"/>
      <c r="F572" s="3"/>
      <c r="G572" s="57"/>
      <c r="H572" s="57"/>
      <c r="I572" s="3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5.75" customHeight="1">
      <c r="A573" s="1"/>
      <c r="B573" s="124"/>
      <c r="C573" s="1"/>
      <c r="D573" s="1"/>
      <c r="E573" s="3"/>
      <c r="F573" s="3"/>
      <c r="G573" s="57"/>
      <c r="H573" s="57"/>
      <c r="I573" s="3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5.75" customHeight="1">
      <c r="A574" s="1"/>
      <c r="B574" s="124"/>
      <c r="C574" s="1"/>
      <c r="D574" s="1"/>
      <c r="E574" s="3"/>
      <c r="F574" s="3"/>
      <c r="G574" s="57"/>
      <c r="H574" s="57"/>
      <c r="I574" s="3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5.75" customHeight="1">
      <c r="A575" s="1"/>
      <c r="B575" s="124"/>
      <c r="C575" s="1"/>
      <c r="D575" s="1"/>
      <c r="E575" s="3"/>
      <c r="F575" s="3"/>
      <c r="G575" s="57"/>
      <c r="H575" s="57"/>
      <c r="I575" s="3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5.75" customHeight="1">
      <c r="A576" s="1"/>
      <c r="B576" s="124"/>
      <c r="C576" s="1"/>
      <c r="D576" s="1"/>
      <c r="E576" s="3"/>
      <c r="F576" s="3"/>
      <c r="G576" s="57"/>
      <c r="H576" s="57"/>
      <c r="I576" s="3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5.75" customHeight="1">
      <c r="A577" s="1"/>
      <c r="B577" s="124"/>
      <c r="C577" s="1"/>
      <c r="D577" s="1"/>
      <c r="E577" s="3"/>
      <c r="F577" s="3"/>
      <c r="G577" s="57"/>
      <c r="H577" s="57"/>
      <c r="I577" s="3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5.75" customHeight="1">
      <c r="A578" s="1"/>
      <c r="B578" s="124"/>
      <c r="C578" s="1"/>
      <c r="D578" s="1"/>
      <c r="E578" s="3"/>
      <c r="F578" s="3"/>
      <c r="G578" s="57"/>
      <c r="H578" s="57"/>
      <c r="I578" s="3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5.75" customHeight="1">
      <c r="A579" s="1"/>
      <c r="B579" s="124"/>
      <c r="C579" s="1"/>
      <c r="D579" s="1"/>
      <c r="E579" s="3"/>
      <c r="F579" s="3"/>
      <c r="G579" s="57"/>
      <c r="H579" s="57"/>
      <c r="I579" s="3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5.75" customHeight="1">
      <c r="A580" s="1"/>
      <c r="B580" s="124"/>
      <c r="C580" s="1"/>
      <c r="D580" s="1"/>
      <c r="E580" s="3"/>
      <c r="F580" s="3"/>
      <c r="G580" s="57"/>
      <c r="H580" s="57"/>
      <c r="I580" s="3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5.75" customHeight="1">
      <c r="A581" s="1"/>
      <c r="B581" s="124"/>
      <c r="C581" s="1"/>
      <c r="D581" s="1"/>
      <c r="E581" s="3"/>
      <c r="F581" s="3"/>
      <c r="G581" s="57"/>
      <c r="H581" s="57"/>
      <c r="I581" s="3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5.75" customHeight="1">
      <c r="A582" s="1"/>
      <c r="B582" s="124"/>
      <c r="C582" s="1"/>
      <c r="D582" s="1"/>
      <c r="E582" s="3"/>
      <c r="F582" s="3"/>
      <c r="G582" s="57"/>
      <c r="H582" s="57"/>
      <c r="I582" s="3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5.75" customHeight="1">
      <c r="A583" s="1"/>
      <c r="B583" s="124"/>
      <c r="C583" s="1"/>
      <c r="D583" s="1"/>
      <c r="E583" s="3"/>
      <c r="F583" s="3"/>
      <c r="G583" s="57"/>
      <c r="H583" s="57"/>
      <c r="I583" s="3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5.75" customHeight="1">
      <c r="A584" s="1"/>
      <c r="B584" s="124"/>
      <c r="C584" s="1"/>
      <c r="D584" s="1"/>
      <c r="E584" s="3"/>
      <c r="F584" s="3"/>
      <c r="G584" s="57"/>
      <c r="H584" s="57"/>
      <c r="I584" s="3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5.75" customHeight="1">
      <c r="A585" s="1"/>
      <c r="B585" s="124"/>
      <c r="C585" s="1"/>
      <c r="D585" s="1"/>
      <c r="E585" s="3"/>
      <c r="F585" s="3"/>
      <c r="G585" s="57"/>
      <c r="H585" s="57"/>
      <c r="I585" s="3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5.75" customHeight="1">
      <c r="A586" s="1"/>
      <c r="B586" s="124"/>
      <c r="C586" s="1"/>
      <c r="D586" s="1"/>
      <c r="E586" s="3"/>
      <c r="F586" s="3"/>
      <c r="G586" s="57"/>
      <c r="H586" s="57"/>
      <c r="I586" s="3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5.75" customHeight="1">
      <c r="A587" s="1"/>
      <c r="B587" s="124"/>
      <c r="C587" s="1"/>
      <c r="D587" s="1"/>
      <c r="E587" s="3"/>
      <c r="F587" s="3"/>
      <c r="G587" s="57"/>
      <c r="H587" s="57"/>
      <c r="I587" s="3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5.75" customHeight="1">
      <c r="A588" s="1"/>
      <c r="B588" s="124"/>
      <c r="C588" s="1"/>
      <c r="D588" s="1"/>
      <c r="E588" s="3"/>
      <c r="F588" s="3"/>
      <c r="G588" s="57"/>
      <c r="H588" s="57"/>
      <c r="I588" s="3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5.75" customHeight="1">
      <c r="A589" s="1"/>
      <c r="B589" s="124"/>
      <c r="C589" s="1"/>
      <c r="D589" s="1"/>
      <c r="E589" s="3"/>
      <c r="F589" s="3"/>
      <c r="G589" s="57"/>
      <c r="H589" s="57"/>
      <c r="I589" s="3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5.75" customHeight="1">
      <c r="A590" s="1"/>
      <c r="B590" s="124"/>
      <c r="C590" s="1"/>
      <c r="D590" s="1"/>
      <c r="E590" s="3"/>
      <c r="F590" s="3"/>
      <c r="G590" s="57"/>
      <c r="H590" s="57"/>
      <c r="I590" s="3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5.75" customHeight="1">
      <c r="A591" s="1"/>
      <c r="B591" s="124"/>
      <c r="C591" s="1"/>
      <c r="D591" s="1"/>
      <c r="E591" s="3"/>
      <c r="F591" s="3"/>
      <c r="G591" s="57"/>
      <c r="H591" s="57"/>
      <c r="I591" s="3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5.75" customHeight="1">
      <c r="A592" s="1"/>
      <c r="B592" s="124"/>
      <c r="C592" s="1"/>
      <c r="D592" s="1"/>
      <c r="E592" s="3"/>
      <c r="F592" s="3"/>
      <c r="G592" s="57"/>
      <c r="H592" s="57"/>
      <c r="I592" s="3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5.75" customHeight="1">
      <c r="A593" s="1"/>
      <c r="B593" s="124"/>
      <c r="C593" s="1"/>
      <c r="D593" s="1"/>
      <c r="E593" s="3"/>
      <c r="F593" s="3"/>
      <c r="G593" s="57"/>
      <c r="H593" s="57"/>
      <c r="I593" s="3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5.75" customHeight="1">
      <c r="A594" s="1"/>
      <c r="B594" s="124"/>
      <c r="C594" s="1"/>
      <c r="D594" s="1"/>
      <c r="E594" s="3"/>
      <c r="F594" s="3"/>
      <c r="G594" s="57"/>
      <c r="H594" s="57"/>
      <c r="I594" s="3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5.75" customHeight="1">
      <c r="A595" s="1"/>
      <c r="B595" s="124"/>
      <c r="C595" s="1"/>
      <c r="D595" s="1"/>
      <c r="E595" s="3"/>
      <c r="F595" s="3"/>
      <c r="G595" s="57"/>
      <c r="H595" s="57"/>
      <c r="I595" s="3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5.75" customHeight="1">
      <c r="A596" s="1"/>
      <c r="B596" s="124"/>
      <c r="C596" s="1"/>
      <c r="D596" s="1"/>
      <c r="E596" s="3"/>
      <c r="F596" s="3"/>
      <c r="G596" s="57"/>
      <c r="H596" s="57"/>
      <c r="I596" s="3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5.75" customHeight="1">
      <c r="A597" s="1"/>
      <c r="B597" s="124"/>
      <c r="C597" s="1"/>
      <c r="D597" s="1"/>
      <c r="E597" s="3"/>
      <c r="F597" s="3"/>
      <c r="G597" s="57"/>
      <c r="H597" s="57"/>
      <c r="I597" s="3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5.75" customHeight="1">
      <c r="A598" s="1"/>
      <c r="B598" s="124"/>
      <c r="C598" s="1"/>
      <c r="D598" s="1"/>
      <c r="E598" s="3"/>
      <c r="F598" s="3"/>
      <c r="G598" s="57"/>
      <c r="H598" s="57"/>
      <c r="I598" s="3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5.75" customHeight="1">
      <c r="A599" s="1"/>
      <c r="B599" s="124"/>
      <c r="C599" s="1"/>
      <c r="D599" s="1"/>
      <c r="E599" s="3"/>
      <c r="F599" s="3"/>
      <c r="G599" s="57"/>
      <c r="H599" s="57"/>
      <c r="I599" s="3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5.75" customHeight="1">
      <c r="A600" s="1"/>
      <c r="B600" s="124"/>
      <c r="C600" s="1"/>
      <c r="D600" s="1"/>
      <c r="E600" s="3"/>
      <c r="F600" s="3"/>
      <c r="G600" s="57"/>
      <c r="H600" s="57"/>
      <c r="I600" s="3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5.75" customHeight="1">
      <c r="A601" s="1"/>
      <c r="B601" s="124"/>
      <c r="C601" s="1"/>
      <c r="D601" s="1"/>
      <c r="E601" s="3"/>
      <c r="F601" s="3"/>
      <c r="G601" s="57"/>
      <c r="H601" s="57"/>
      <c r="I601" s="3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5.75" customHeight="1">
      <c r="A602" s="1"/>
      <c r="B602" s="124"/>
      <c r="C602" s="1"/>
      <c r="D602" s="1"/>
      <c r="E602" s="3"/>
      <c r="F602" s="3"/>
      <c r="G602" s="57"/>
      <c r="H602" s="57"/>
      <c r="I602" s="3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5.75" customHeight="1">
      <c r="A603" s="1"/>
      <c r="B603" s="124"/>
      <c r="C603" s="1"/>
      <c r="D603" s="1"/>
      <c r="E603" s="3"/>
      <c r="F603" s="3"/>
      <c r="G603" s="57"/>
      <c r="H603" s="57"/>
      <c r="I603" s="3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5.75" customHeight="1">
      <c r="A604" s="1"/>
      <c r="B604" s="124"/>
      <c r="C604" s="1"/>
      <c r="D604" s="1"/>
      <c r="E604" s="3"/>
      <c r="F604" s="3"/>
      <c r="G604" s="57"/>
      <c r="H604" s="57"/>
      <c r="I604" s="3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5.75" customHeight="1">
      <c r="A605" s="1"/>
      <c r="B605" s="124"/>
      <c r="C605" s="1"/>
      <c r="D605" s="1"/>
      <c r="E605" s="3"/>
      <c r="F605" s="3"/>
      <c r="G605" s="57"/>
      <c r="H605" s="57"/>
      <c r="I605" s="3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5.75" customHeight="1">
      <c r="A606" s="1"/>
      <c r="B606" s="124"/>
      <c r="C606" s="1"/>
      <c r="D606" s="1"/>
      <c r="E606" s="3"/>
      <c r="F606" s="3"/>
      <c r="G606" s="57"/>
      <c r="H606" s="57"/>
      <c r="I606" s="3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5.75" customHeight="1">
      <c r="A607" s="1"/>
      <c r="B607" s="124"/>
      <c r="C607" s="1"/>
      <c r="D607" s="1"/>
      <c r="E607" s="3"/>
      <c r="F607" s="3"/>
      <c r="G607" s="57"/>
      <c r="H607" s="57"/>
      <c r="I607" s="3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5.75" customHeight="1">
      <c r="A608" s="1"/>
      <c r="B608" s="124"/>
      <c r="C608" s="1"/>
      <c r="D608" s="1"/>
      <c r="E608" s="3"/>
      <c r="F608" s="3"/>
      <c r="G608" s="57"/>
      <c r="H608" s="57"/>
      <c r="I608" s="3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5.75" customHeight="1">
      <c r="A609" s="1"/>
      <c r="B609" s="124"/>
      <c r="C609" s="1"/>
      <c r="D609" s="1"/>
      <c r="E609" s="3"/>
      <c r="F609" s="3"/>
      <c r="G609" s="57"/>
      <c r="H609" s="57"/>
      <c r="I609" s="3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5.75" customHeight="1">
      <c r="A610" s="1"/>
      <c r="B610" s="124"/>
      <c r="C610" s="1"/>
      <c r="D610" s="1"/>
      <c r="E610" s="3"/>
      <c r="F610" s="3"/>
      <c r="G610" s="57"/>
      <c r="H610" s="57"/>
      <c r="I610" s="3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5.75" customHeight="1">
      <c r="A611" s="1"/>
      <c r="B611" s="124"/>
      <c r="C611" s="1"/>
      <c r="D611" s="1"/>
      <c r="E611" s="3"/>
      <c r="F611" s="3"/>
      <c r="G611" s="57"/>
      <c r="H611" s="57"/>
      <c r="I611" s="3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5.75" customHeight="1">
      <c r="A612" s="1"/>
      <c r="B612" s="124"/>
      <c r="C612" s="1"/>
      <c r="D612" s="1"/>
      <c r="E612" s="3"/>
      <c r="F612" s="3"/>
      <c r="G612" s="57"/>
      <c r="H612" s="57"/>
      <c r="I612" s="3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5.75" customHeight="1">
      <c r="A613" s="1"/>
      <c r="B613" s="124"/>
      <c r="C613" s="1"/>
      <c r="D613" s="1"/>
      <c r="E613" s="3"/>
      <c r="F613" s="3"/>
      <c r="G613" s="57"/>
      <c r="H613" s="57"/>
      <c r="I613" s="3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5.75" customHeight="1">
      <c r="A614" s="1"/>
      <c r="B614" s="124"/>
      <c r="C614" s="1"/>
      <c r="D614" s="1"/>
      <c r="E614" s="3"/>
      <c r="F614" s="3"/>
      <c r="G614" s="57"/>
      <c r="H614" s="57"/>
      <c r="I614" s="3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5.75" customHeight="1">
      <c r="A615" s="1"/>
      <c r="B615" s="124"/>
      <c r="C615" s="1"/>
      <c r="D615" s="1"/>
      <c r="E615" s="3"/>
      <c r="F615" s="3"/>
      <c r="G615" s="57"/>
      <c r="H615" s="57"/>
      <c r="I615" s="3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5.75" customHeight="1">
      <c r="A616" s="1"/>
      <c r="B616" s="124"/>
      <c r="C616" s="1"/>
      <c r="D616" s="1"/>
      <c r="E616" s="3"/>
      <c r="F616" s="3"/>
      <c r="G616" s="57"/>
      <c r="H616" s="57"/>
      <c r="I616" s="3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5.75" customHeight="1">
      <c r="A617" s="1"/>
      <c r="B617" s="124"/>
      <c r="C617" s="1"/>
      <c r="D617" s="1"/>
      <c r="E617" s="3"/>
      <c r="F617" s="3"/>
      <c r="G617" s="57"/>
      <c r="H617" s="57"/>
      <c r="I617" s="3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5.75" customHeight="1">
      <c r="A618" s="1"/>
      <c r="B618" s="124"/>
      <c r="C618" s="1"/>
      <c r="D618" s="1"/>
      <c r="E618" s="3"/>
      <c r="F618" s="3"/>
      <c r="G618" s="57"/>
      <c r="H618" s="57"/>
      <c r="I618" s="3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5.75" customHeight="1">
      <c r="A619" s="1"/>
      <c r="B619" s="124"/>
      <c r="C619" s="1"/>
      <c r="D619" s="1"/>
      <c r="E619" s="3"/>
      <c r="F619" s="3"/>
      <c r="G619" s="57"/>
      <c r="H619" s="57"/>
      <c r="I619" s="3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5.75" customHeight="1">
      <c r="A620" s="1"/>
      <c r="B620" s="124"/>
      <c r="C620" s="1"/>
      <c r="D620" s="1"/>
      <c r="E620" s="3"/>
      <c r="F620" s="3"/>
      <c r="G620" s="57"/>
      <c r="H620" s="57"/>
      <c r="I620" s="3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5.75" customHeight="1">
      <c r="A621" s="1"/>
      <c r="B621" s="124"/>
      <c r="C621" s="1"/>
      <c r="D621" s="1"/>
      <c r="E621" s="3"/>
      <c r="F621" s="3"/>
      <c r="G621" s="57"/>
      <c r="H621" s="57"/>
      <c r="I621" s="3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5.75" customHeight="1">
      <c r="A622" s="1"/>
      <c r="B622" s="124"/>
      <c r="C622" s="1"/>
      <c r="D622" s="1"/>
      <c r="E622" s="3"/>
      <c r="F622" s="3"/>
      <c r="G622" s="57"/>
      <c r="H622" s="57"/>
      <c r="I622" s="3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5.75" customHeight="1">
      <c r="A623" s="1"/>
      <c r="B623" s="124"/>
      <c r="C623" s="1"/>
      <c r="D623" s="1"/>
      <c r="E623" s="3"/>
      <c r="F623" s="3"/>
      <c r="G623" s="57"/>
      <c r="H623" s="57"/>
      <c r="I623" s="3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5.75" customHeight="1">
      <c r="A624" s="1"/>
      <c r="B624" s="124"/>
      <c r="C624" s="1"/>
      <c r="D624" s="1"/>
      <c r="E624" s="3"/>
      <c r="F624" s="3"/>
      <c r="G624" s="57"/>
      <c r="H624" s="57"/>
      <c r="I624" s="3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5.75" customHeight="1">
      <c r="A625" s="1"/>
      <c r="B625" s="124"/>
      <c r="C625" s="1"/>
      <c r="D625" s="1"/>
      <c r="E625" s="3"/>
      <c r="F625" s="3"/>
      <c r="G625" s="57"/>
      <c r="H625" s="57"/>
      <c r="I625" s="3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5.75" customHeight="1">
      <c r="A626" s="1"/>
      <c r="B626" s="124"/>
      <c r="C626" s="1"/>
      <c r="D626" s="1"/>
      <c r="E626" s="3"/>
      <c r="F626" s="3"/>
      <c r="G626" s="57"/>
      <c r="H626" s="57"/>
      <c r="I626" s="3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5.75" customHeight="1">
      <c r="A627" s="1"/>
      <c r="B627" s="124"/>
      <c r="C627" s="1"/>
      <c r="D627" s="1"/>
      <c r="E627" s="3"/>
      <c r="F627" s="3"/>
      <c r="G627" s="57"/>
      <c r="H627" s="57"/>
      <c r="I627" s="3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5.75" customHeight="1">
      <c r="A628" s="1"/>
      <c r="B628" s="124"/>
      <c r="C628" s="1"/>
      <c r="D628" s="1"/>
      <c r="E628" s="3"/>
      <c r="F628" s="3"/>
      <c r="G628" s="57"/>
      <c r="H628" s="57"/>
      <c r="I628" s="3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5.75" customHeight="1">
      <c r="A629" s="1"/>
      <c r="B629" s="124"/>
      <c r="C629" s="1"/>
      <c r="D629" s="1"/>
      <c r="E629" s="3"/>
      <c r="F629" s="3"/>
      <c r="G629" s="57"/>
      <c r="H629" s="57"/>
      <c r="I629" s="3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5.75" customHeight="1">
      <c r="A630" s="1"/>
      <c r="B630" s="124"/>
      <c r="C630" s="1"/>
      <c r="D630" s="1"/>
      <c r="E630" s="3"/>
      <c r="F630" s="3"/>
      <c r="G630" s="57"/>
      <c r="H630" s="57"/>
      <c r="I630" s="3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5.75" customHeight="1">
      <c r="A631" s="1"/>
      <c r="B631" s="124"/>
      <c r="C631" s="1"/>
      <c r="D631" s="1"/>
      <c r="E631" s="3"/>
      <c r="F631" s="3"/>
      <c r="G631" s="57"/>
      <c r="H631" s="57"/>
      <c r="I631" s="3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5.75" customHeight="1">
      <c r="A632" s="1"/>
      <c r="B632" s="124"/>
      <c r="C632" s="1"/>
      <c r="D632" s="1"/>
      <c r="E632" s="3"/>
      <c r="F632" s="3"/>
      <c r="G632" s="57"/>
      <c r="H632" s="57"/>
      <c r="I632" s="3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5.75" customHeight="1">
      <c r="A633" s="1"/>
      <c r="B633" s="124"/>
      <c r="C633" s="1"/>
      <c r="D633" s="1"/>
      <c r="E633" s="3"/>
      <c r="F633" s="3"/>
      <c r="G633" s="57"/>
      <c r="H633" s="57"/>
      <c r="I633" s="3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5.75" customHeight="1">
      <c r="A634" s="1"/>
      <c r="B634" s="124"/>
      <c r="C634" s="1"/>
      <c r="D634" s="1"/>
      <c r="E634" s="3"/>
      <c r="F634" s="3"/>
      <c r="G634" s="57"/>
      <c r="H634" s="57"/>
      <c r="I634" s="3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5.75" customHeight="1">
      <c r="A635" s="1"/>
      <c r="B635" s="124"/>
      <c r="C635" s="1"/>
      <c r="D635" s="1"/>
      <c r="E635" s="3"/>
      <c r="F635" s="3"/>
      <c r="G635" s="57"/>
      <c r="H635" s="57"/>
      <c r="I635" s="3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5.75" customHeight="1">
      <c r="A636" s="1"/>
      <c r="B636" s="124"/>
      <c r="C636" s="1"/>
      <c r="D636" s="1"/>
      <c r="E636" s="3"/>
      <c r="F636" s="3"/>
      <c r="G636" s="57"/>
      <c r="H636" s="57"/>
      <c r="I636" s="3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5.75" customHeight="1">
      <c r="A637" s="1"/>
      <c r="B637" s="124"/>
      <c r="C637" s="1"/>
      <c r="D637" s="1"/>
      <c r="E637" s="3"/>
      <c r="F637" s="3"/>
      <c r="G637" s="57"/>
      <c r="H637" s="57"/>
      <c r="I637" s="3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5.75" customHeight="1">
      <c r="A638" s="1"/>
      <c r="B638" s="124"/>
      <c r="C638" s="1"/>
      <c r="D638" s="1"/>
      <c r="E638" s="3"/>
      <c r="F638" s="3"/>
      <c r="G638" s="57"/>
      <c r="H638" s="57"/>
      <c r="I638" s="3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5.75" customHeight="1">
      <c r="A639" s="1"/>
      <c r="B639" s="124"/>
      <c r="C639" s="1"/>
      <c r="D639" s="1"/>
      <c r="E639" s="3"/>
      <c r="F639" s="3"/>
      <c r="G639" s="57"/>
      <c r="H639" s="57"/>
      <c r="I639" s="3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5.75" customHeight="1">
      <c r="A640" s="1"/>
      <c r="B640" s="124"/>
      <c r="C640" s="1"/>
      <c r="D640" s="1"/>
      <c r="E640" s="3"/>
      <c r="F640" s="3"/>
      <c r="G640" s="57"/>
      <c r="H640" s="57"/>
      <c r="I640" s="3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5.75" customHeight="1">
      <c r="A641" s="1"/>
      <c r="B641" s="124"/>
      <c r="C641" s="1"/>
      <c r="D641" s="1"/>
      <c r="E641" s="3"/>
      <c r="F641" s="3"/>
      <c r="G641" s="57"/>
      <c r="H641" s="57"/>
      <c r="I641" s="3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5.75" customHeight="1">
      <c r="A642" s="1"/>
      <c r="B642" s="124"/>
      <c r="C642" s="1"/>
      <c r="D642" s="1"/>
      <c r="E642" s="3"/>
      <c r="F642" s="3"/>
      <c r="G642" s="57"/>
      <c r="H642" s="57"/>
      <c r="I642" s="3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5.75" customHeight="1">
      <c r="A643" s="1"/>
      <c r="B643" s="124"/>
      <c r="C643" s="1"/>
      <c r="D643" s="1"/>
      <c r="E643" s="3"/>
      <c r="F643" s="3"/>
      <c r="G643" s="57"/>
      <c r="H643" s="57"/>
      <c r="I643" s="3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5.75" customHeight="1">
      <c r="A644" s="1"/>
      <c r="B644" s="124"/>
      <c r="C644" s="1"/>
      <c r="D644" s="1"/>
      <c r="E644" s="3"/>
      <c r="F644" s="3"/>
      <c r="G644" s="57"/>
      <c r="H644" s="57"/>
      <c r="I644" s="3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5.75" customHeight="1">
      <c r="A645" s="1"/>
      <c r="B645" s="124"/>
      <c r="C645" s="1"/>
      <c r="D645" s="1"/>
      <c r="E645" s="3"/>
      <c r="F645" s="3"/>
      <c r="G645" s="57"/>
      <c r="H645" s="57"/>
      <c r="I645" s="3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5.75" customHeight="1">
      <c r="A646" s="1"/>
      <c r="B646" s="124"/>
      <c r="C646" s="1"/>
      <c r="D646" s="1"/>
      <c r="E646" s="3"/>
      <c r="F646" s="3"/>
      <c r="G646" s="57"/>
      <c r="H646" s="57"/>
      <c r="I646" s="3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5.75" customHeight="1">
      <c r="A647" s="1"/>
      <c r="B647" s="124"/>
      <c r="C647" s="1"/>
      <c r="D647" s="1"/>
      <c r="E647" s="3"/>
      <c r="F647" s="3"/>
      <c r="G647" s="57"/>
      <c r="H647" s="57"/>
      <c r="I647" s="3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5.75" customHeight="1">
      <c r="A648" s="1"/>
      <c r="B648" s="124"/>
      <c r="C648" s="1"/>
      <c r="D648" s="1"/>
      <c r="E648" s="3"/>
      <c r="F648" s="3"/>
      <c r="G648" s="57"/>
      <c r="H648" s="57"/>
      <c r="I648" s="3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5.75" customHeight="1">
      <c r="A649" s="1"/>
      <c r="B649" s="124"/>
      <c r="C649" s="1"/>
      <c r="D649" s="1"/>
      <c r="E649" s="3"/>
      <c r="F649" s="3"/>
      <c r="G649" s="57"/>
      <c r="H649" s="57"/>
      <c r="I649" s="3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5.75" customHeight="1">
      <c r="A650" s="1"/>
      <c r="B650" s="124"/>
      <c r="C650" s="1"/>
      <c r="D650" s="1"/>
      <c r="E650" s="3"/>
      <c r="F650" s="3"/>
      <c r="G650" s="57"/>
      <c r="H650" s="57"/>
      <c r="I650" s="3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5.75" customHeight="1">
      <c r="A651" s="1"/>
      <c r="B651" s="124"/>
      <c r="C651" s="1"/>
      <c r="D651" s="1"/>
      <c r="E651" s="3"/>
      <c r="F651" s="3"/>
      <c r="G651" s="57"/>
      <c r="H651" s="57"/>
      <c r="I651" s="3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5.75" customHeight="1">
      <c r="A652" s="1"/>
      <c r="B652" s="124"/>
      <c r="C652" s="1"/>
      <c r="D652" s="1"/>
      <c r="E652" s="3"/>
      <c r="F652" s="3"/>
      <c r="G652" s="57"/>
      <c r="H652" s="57"/>
      <c r="I652" s="3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5.75" customHeight="1">
      <c r="A653" s="1"/>
      <c r="B653" s="124"/>
      <c r="C653" s="1"/>
      <c r="D653" s="1"/>
      <c r="E653" s="3"/>
      <c r="F653" s="3"/>
      <c r="G653" s="57"/>
      <c r="H653" s="57"/>
      <c r="I653" s="3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5.75" customHeight="1">
      <c r="A654" s="1"/>
      <c r="B654" s="124"/>
      <c r="C654" s="1"/>
      <c r="D654" s="1"/>
      <c r="E654" s="3"/>
      <c r="F654" s="3"/>
      <c r="G654" s="57"/>
      <c r="H654" s="57"/>
      <c r="I654" s="3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5.75" customHeight="1">
      <c r="A655" s="1"/>
      <c r="B655" s="124"/>
      <c r="C655" s="1"/>
      <c r="D655" s="1"/>
      <c r="E655" s="3"/>
      <c r="F655" s="3"/>
      <c r="G655" s="57"/>
      <c r="H655" s="57"/>
      <c r="I655" s="3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5.75" customHeight="1">
      <c r="A656" s="1"/>
      <c r="B656" s="124"/>
      <c r="C656" s="1"/>
      <c r="D656" s="1"/>
      <c r="E656" s="3"/>
      <c r="F656" s="3"/>
      <c r="G656" s="57"/>
      <c r="H656" s="57"/>
      <c r="I656" s="3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5.75" customHeight="1">
      <c r="A657" s="1"/>
      <c r="B657" s="124"/>
      <c r="C657" s="1"/>
      <c r="D657" s="1"/>
      <c r="E657" s="3"/>
      <c r="F657" s="3"/>
      <c r="G657" s="57"/>
      <c r="H657" s="57"/>
      <c r="I657" s="3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5.75" customHeight="1">
      <c r="A658" s="1"/>
      <c r="B658" s="124"/>
      <c r="C658" s="1"/>
      <c r="D658" s="1"/>
      <c r="E658" s="3"/>
      <c r="F658" s="3"/>
      <c r="G658" s="57"/>
      <c r="H658" s="57"/>
      <c r="I658" s="3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5.75" customHeight="1">
      <c r="A659" s="1"/>
      <c r="B659" s="124"/>
      <c r="C659" s="1"/>
      <c r="D659" s="1"/>
      <c r="E659" s="3"/>
      <c r="F659" s="3"/>
      <c r="G659" s="57"/>
      <c r="H659" s="57"/>
      <c r="I659" s="3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5.75" customHeight="1">
      <c r="A660" s="1"/>
      <c r="B660" s="124"/>
      <c r="C660" s="1"/>
      <c r="D660" s="1"/>
      <c r="E660" s="3"/>
      <c r="F660" s="3"/>
      <c r="G660" s="57"/>
      <c r="H660" s="57"/>
      <c r="I660" s="3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5.75" customHeight="1">
      <c r="A661" s="1"/>
      <c r="B661" s="124"/>
      <c r="C661" s="1"/>
      <c r="D661" s="1"/>
      <c r="E661" s="3"/>
      <c r="F661" s="3"/>
      <c r="G661" s="57"/>
      <c r="H661" s="57"/>
      <c r="I661" s="3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5.75" customHeight="1">
      <c r="A662" s="1"/>
      <c r="B662" s="124"/>
      <c r="C662" s="1"/>
      <c r="D662" s="1"/>
      <c r="E662" s="3"/>
      <c r="F662" s="3"/>
      <c r="G662" s="57"/>
      <c r="H662" s="57"/>
      <c r="I662" s="3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5.75" customHeight="1">
      <c r="A663" s="1"/>
      <c r="B663" s="124"/>
      <c r="C663" s="1"/>
      <c r="D663" s="1"/>
      <c r="E663" s="3"/>
      <c r="F663" s="3"/>
      <c r="G663" s="57"/>
      <c r="H663" s="57"/>
      <c r="I663" s="3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5.75" customHeight="1">
      <c r="A664" s="1"/>
      <c r="B664" s="124"/>
      <c r="C664" s="1"/>
      <c r="D664" s="1"/>
      <c r="E664" s="3"/>
      <c r="F664" s="3"/>
      <c r="G664" s="57"/>
      <c r="H664" s="57"/>
      <c r="I664" s="3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5.75" customHeight="1">
      <c r="A665" s="1"/>
      <c r="B665" s="124"/>
      <c r="C665" s="1"/>
      <c r="D665" s="1"/>
      <c r="E665" s="3"/>
      <c r="F665" s="3"/>
      <c r="G665" s="57"/>
      <c r="H665" s="57"/>
      <c r="I665" s="3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5.75" customHeight="1">
      <c r="A666" s="1"/>
      <c r="B666" s="124"/>
      <c r="C666" s="1"/>
      <c r="D666" s="1"/>
      <c r="E666" s="3"/>
      <c r="F666" s="3"/>
      <c r="G666" s="57"/>
      <c r="H666" s="57"/>
      <c r="I666" s="3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5.75" customHeight="1">
      <c r="A667" s="1"/>
      <c r="B667" s="124"/>
      <c r="C667" s="1"/>
      <c r="D667" s="1"/>
      <c r="E667" s="3"/>
      <c r="F667" s="3"/>
      <c r="G667" s="57"/>
      <c r="H667" s="57"/>
      <c r="I667" s="3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5.75" customHeight="1">
      <c r="A668" s="1"/>
      <c r="B668" s="124"/>
      <c r="C668" s="1"/>
      <c r="D668" s="1"/>
      <c r="E668" s="3"/>
      <c r="F668" s="3"/>
      <c r="G668" s="57"/>
      <c r="H668" s="57"/>
      <c r="I668" s="3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5.75" customHeight="1">
      <c r="A669" s="1"/>
      <c r="B669" s="124"/>
      <c r="C669" s="1"/>
      <c r="D669" s="1"/>
      <c r="E669" s="3"/>
      <c r="F669" s="3"/>
      <c r="G669" s="57"/>
      <c r="H669" s="57"/>
      <c r="I669" s="3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5.75" customHeight="1">
      <c r="A670" s="1"/>
      <c r="B670" s="124"/>
      <c r="C670" s="1"/>
      <c r="D670" s="1"/>
      <c r="E670" s="3"/>
      <c r="F670" s="3"/>
      <c r="G670" s="57"/>
      <c r="H670" s="57"/>
      <c r="I670" s="3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5.75" customHeight="1">
      <c r="A671" s="1"/>
      <c r="B671" s="124"/>
      <c r="C671" s="1"/>
      <c r="D671" s="1"/>
      <c r="E671" s="3"/>
      <c r="F671" s="3"/>
      <c r="G671" s="57"/>
      <c r="H671" s="57"/>
      <c r="I671" s="3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5.75" customHeight="1">
      <c r="A672" s="1"/>
      <c r="B672" s="124"/>
      <c r="C672" s="1"/>
      <c r="D672" s="1"/>
      <c r="E672" s="3"/>
      <c r="F672" s="3"/>
      <c r="G672" s="57"/>
      <c r="H672" s="57"/>
      <c r="I672" s="3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5.75" customHeight="1">
      <c r="A673" s="1"/>
      <c r="B673" s="124"/>
      <c r="C673" s="1"/>
      <c r="D673" s="1"/>
      <c r="E673" s="3"/>
      <c r="F673" s="3"/>
      <c r="G673" s="57"/>
      <c r="H673" s="57"/>
      <c r="I673" s="3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5.75" customHeight="1">
      <c r="A674" s="1"/>
      <c r="B674" s="124"/>
      <c r="C674" s="1"/>
      <c r="D674" s="1"/>
      <c r="E674" s="3"/>
      <c r="F674" s="3"/>
      <c r="G674" s="57"/>
      <c r="H674" s="57"/>
      <c r="I674" s="3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5.75" customHeight="1">
      <c r="A675" s="1"/>
      <c r="B675" s="124"/>
      <c r="C675" s="1"/>
      <c r="D675" s="1"/>
      <c r="E675" s="3"/>
      <c r="F675" s="3"/>
      <c r="G675" s="57"/>
      <c r="H675" s="57"/>
      <c r="I675" s="3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5.75" customHeight="1">
      <c r="A676" s="1"/>
      <c r="B676" s="124"/>
      <c r="C676" s="1"/>
      <c r="D676" s="1"/>
      <c r="E676" s="3"/>
      <c r="F676" s="3"/>
      <c r="G676" s="57"/>
      <c r="H676" s="57"/>
      <c r="I676" s="3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5.75" customHeight="1">
      <c r="A677" s="1"/>
      <c r="B677" s="124"/>
      <c r="C677" s="1"/>
      <c r="D677" s="1"/>
      <c r="E677" s="3"/>
      <c r="F677" s="3"/>
      <c r="G677" s="57"/>
      <c r="H677" s="57"/>
      <c r="I677" s="3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5.75" customHeight="1">
      <c r="A678" s="1"/>
      <c r="B678" s="124"/>
      <c r="C678" s="1"/>
      <c r="D678" s="1"/>
      <c r="E678" s="3"/>
      <c r="F678" s="3"/>
      <c r="G678" s="57"/>
      <c r="H678" s="57"/>
      <c r="I678" s="3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5.75" customHeight="1">
      <c r="A679" s="1"/>
      <c r="B679" s="124"/>
      <c r="C679" s="1"/>
      <c r="D679" s="1"/>
      <c r="E679" s="3"/>
      <c r="F679" s="3"/>
      <c r="G679" s="57"/>
      <c r="H679" s="57"/>
      <c r="I679" s="3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5.75" customHeight="1">
      <c r="A680" s="1"/>
      <c r="B680" s="124"/>
      <c r="C680" s="1"/>
      <c r="D680" s="1"/>
      <c r="E680" s="3"/>
      <c r="F680" s="3"/>
      <c r="G680" s="57"/>
      <c r="H680" s="57"/>
      <c r="I680" s="3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5.75" customHeight="1">
      <c r="A681" s="1"/>
      <c r="B681" s="124"/>
      <c r="C681" s="1"/>
      <c r="D681" s="1"/>
      <c r="E681" s="3"/>
      <c r="F681" s="3"/>
      <c r="G681" s="57"/>
      <c r="H681" s="57"/>
      <c r="I681" s="3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5.75" customHeight="1">
      <c r="A682" s="1"/>
      <c r="B682" s="124"/>
      <c r="C682" s="1"/>
      <c r="D682" s="1"/>
      <c r="E682" s="3"/>
      <c r="F682" s="3"/>
      <c r="G682" s="57"/>
      <c r="H682" s="57"/>
      <c r="I682" s="3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5.75" customHeight="1">
      <c r="A683" s="1"/>
      <c r="B683" s="124"/>
      <c r="C683" s="1"/>
      <c r="D683" s="1"/>
      <c r="E683" s="3"/>
      <c r="F683" s="3"/>
      <c r="G683" s="57"/>
      <c r="H683" s="57"/>
      <c r="I683" s="3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5.75" customHeight="1">
      <c r="A684" s="1"/>
      <c r="B684" s="124"/>
      <c r="C684" s="1"/>
      <c r="D684" s="1"/>
      <c r="E684" s="3"/>
      <c r="F684" s="3"/>
      <c r="G684" s="57"/>
      <c r="H684" s="57"/>
      <c r="I684" s="3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5.75" customHeight="1">
      <c r="A685" s="1"/>
      <c r="B685" s="124"/>
      <c r="C685" s="1"/>
      <c r="D685" s="1"/>
      <c r="E685" s="3"/>
      <c r="F685" s="3"/>
      <c r="G685" s="57"/>
      <c r="H685" s="57"/>
      <c r="I685" s="3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5.75" customHeight="1">
      <c r="A686" s="1"/>
      <c r="B686" s="124"/>
      <c r="C686" s="1"/>
      <c r="D686" s="1"/>
      <c r="E686" s="3"/>
      <c r="F686" s="3"/>
      <c r="G686" s="57"/>
      <c r="H686" s="57"/>
      <c r="I686" s="3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5.75" customHeight="1">
      <c r="A687" s="1"/>
      <c r="B687" s="124"/>
      <c r="C687" s="1"/>
      <c r="D687" s="1"/>
      <c r="E687" s="3"/>
      <c r="F687" s="3"/>
      <c r="G687" s="57"/>
      <c r="H687" s="57"/>
      <c r="I687" s="3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5.75" customHeight="1">
      <c r="A688" s="1"/>
      <c r="B688" s="124"/>
      <c r="C688" s="1"/>
      <c r="D688" s="1"/>
      <c r="E688" s="3"/>
      <c r="F688" s="3"/>
      <c r="G688" s="57"/>
      <c r="H688" s="57"/>
      <c r="I688" s="3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5.75" customHeight="1">
      <c r="A689" s="1"/>
      <c r="B689" s="124"/>
      <c r="C689" s="1"/>
      <c r="D689" s="1"/>
      <c r="E689" s="3"/>
      <c r="F689" s="3"/>
      <c r="G689" s="57"/>
      <c r="H689" s="57"/>
      <c r="I689" s="3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5.75" customHeight="1">
      <c r="A690" s="1"/>
      <c r="B690" s="124"/>
      <c r="C690" s="1"/>
      <c r="D690" s="1"/>
      <c r="E690" s="3"/>
      <c r="F690" s="3"/>
      <c r="G690" s="57"/>
      <c r="H690" s="57"/>
      <c r="I690" s="3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5.75" customHeight="1">
      <c r="A691" s="1"/>
      <c r="B691" s="124"/>
      <c r="C691" s="1"/>
      <c r="D691" s="1"/>
      <c r="E691" s="3"/>
      <c r="F691" s="3"/>
      <c r="G691" s="57"/>
      <c r="H691" s="57"/>
      <c r="I691" s="3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5.75" customHeight="1">
      <c r="A692" s="1"/>
      <c r="B692" s="124"/>
      <c r="C692" s="1"/>
      <c r="D692" s="1"/>
      <c r="E692" s="3"/>
      <c r="F692" s="3"/>
      <c r="G692" s="57"/>
      <c r="H692" s="57"/>
      <c r="I692" s="3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5.75" customHeight="1">
      <c r="A693" s="1"/>
      <c r="B693" s="124"/>
      <c r="C693" s="1"/>
      <c r="D693" s="1"/>
      <c r="E693" s="3"/>
      <c r="F693" s="3"/>
      <c r="G693" s="57"/>
      <c r="H693" s="57"/>
      <c r="I693" s="3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5.75" customHeight="1">
      <c r="A694" s="1"/>
      <c r="B694" s="124"/>
      <c r="C694" s="1"/>
      <c r="D694" s="1"/>
      <c r="E694" s="3"/>
      <c r="F694" s="3"/>
      <c r="G694" s="57"/>
      <c r="H694" s="57"/>
      <c r="I694" s="3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5.75" customHeight="1">
      <c r="A695" s="1"/>
      <c r="B695" s="124"/>
      <c r="C695" s="1"/>
      <c r="D695" s="1"/>
      <c r="E695" s="3"/>
      <c r="F695" s="3"/>
      <c r="G695" s="57"/>
      <c r="H695" s="57"/>
      <c r="I695" s="3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5.75" customHeight="1">
      <c r="A696" s="1"/>
      <c r="B696" s="124"/>
      <c r="C696" s="1"/>
      <c r="D696" s="1"/>
      <c r="E696" s="3"/>
      <c r="F696" s="3"/>
      <c r="G696" s="57"/>
      <c r="H696" s="57"/>
      <c r="I696" s="3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5.75" customHeight="1">
      <c r="A697" s="1"/>
      <c r="B697" s="124"/>
      <c r="C697" s="1"/>
      <c r="D697" s="1"/>
      <c r="E697" s="3"/>
      <c r="F697" s="3"/>
      <c r="G697" s="57"/>
      <c r="H697" s="57"/>
      <c r="I697" s="3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5.75" customHeight="1">
      <c r="A698" s="1"/>
      <c r="B698" s="124"/>
      <c r="C698" s="1"/>
      <c r="D698" s="1"/>
      <c r="E698" s="3"/>
      <c r="F698" s="3"/>
      <c r="G698" s="57"/>
      <c r="H698" s="57"/>
      <c r="I698" s="3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5.75" customHeight="1">
      <c r="A699" s="1"/>
      <c r="B699" s="124"/>
      <c r="C699" s="1"/>
      <c r="D699" s="1"/>
      <c r="E699" s="3"/>
      <c r="F699" s="3"/>
      <c r="G699" s="57"/>
      <c r="H699" s="57"/>
      <c r="I699" s="3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5.75" customHeight="1">
      <c r="A700" s="1"/>
      <c r="B700" s="124"/>
      <c r="C700" s="1"/>
      <c r="D700" s="1"/>
      <c r="E700" s="3"/>
      <c r="F700" s="3"/>
      <c r="G700" s="57"/>
      <c r="H700" s="57"/>
      <c r="I700" s="3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5.75" customHeight="1">
      <c r="A701" s="1"/>
      <c r="B701" s="124"/>
      <c r="C701" s="1"/>
      <c r="D701" s="1"/>
      <c r="E701" s="3"/>
      <c r="F701" s="3"/>
      <c r="G701" s="57"/>
      <c r="H701" s="57"/>
      <c r="I701" s="3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5.75" customHeight="1">
      <c r="A702" s="1"/>
      <c r="B702" s="124"/>
      <c r="C702" s="1"/>
      <c r="D702" s="1"/>
      <c r="E702" s="3"/>
      <c r="F702" s="3"/>
      <c r="G702" s="57"/>
      <c r="H702" s="57"/>
      <c r="I702" s="3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5.75" customHeight="1">
      <c r="A703" s="1"/>
      <c r="B703" s="124"/>
      <c r="C703" s="1"/>
      <c r="D703" s="1"/>
      <c r="E703" s="3"/>
      <c r="F703" s="3"/>
      <c r="G703" s="57"/>
      <c r="H703" s="57"/>
      <c r="I703" s="3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5.75" customHeight="1">
      <c r="A704" s="1"/>
      <c r="B704" s="124"/>
      <c r="C704" s="1"/>
      <c r="D704" s="1"/>
      <c r="E704" s="3"/>
      <c r="F704" s="3"/>
      <c r="G704" s="57"/>
      <c r="H704" s="57"/>
      <c r="I704" s="3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5.75" customHeight="1">
      <c r="A705" s="1"/>
      <c r="B705" s="124"/>
      <c r="C705" s="1"/>
      <c r="D705" s="1"/>
      <c r="E705" s="3"/>
      <c r="F705" s="3"/>
      <c r="G705" s="57"/>
      <c r="H705" s="57"/>
      <c r="I705" s="3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5.75" customHeight="1">
      <c r="A706" s="1"/>
      <c r="B706" s="124"/>
      <c r="C706" s="1"/>
      <c r="D706" s="1"/>
      <c r="E706" s="3"/>
      <c r="F706" s="3"/>
      <c r="G706" s="57"/>
      <c r="H706" s="57"/>
      <c r="I706" s="3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5.75" customHeight="1">
      <c r="A707" s="1"/>
      <c r="B707" s="124"/>
      <c r="C707" s="1"/>
      <c r="D707" s="1"/>
      <c r="E707" s="3"/>
      <c r="F707" s="3"/>
      <c r="G707" s="57"/>
      <c r="H707" s="57"/>
      <c r="I707" s="3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5.75" customHeight="1">
      <c r="A708" s="1"/>
      <c r="B708" s="124"/>
      <c r="C708" s="1"/>
      <c r="D708" s="1"/>
      <c r="E708" s="3"/>
      <c r="F708" s="3"/>
      <c r="G708" s="57"/>
      <c r="H708" s="57"/>
      <c r="I708" s="3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5.75" customHeight="1">
      <c r="A709" s="1"/>
      <c r="B709" s="124"/>
      <c r="C709" s="1"/>
      <c r="D709" s="1"/>
      <c r="E709" s="3"/>
      <c r="F709" s="3"/>
      <c r="G709" s="57"/>
      <c r="H709" s="57"/>
      <c r="I709" s="3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5.75" customHeight="1">
      <c r="A710" s="1"/>
      <c r="B710" s="124"/>
      <c r="C710" s="1"/>
      <c r="D710" s="1"/>
      <c r="E710" s="3"/>
      <c r="F710" s="3"/>
      <c r="G710" s="57"/>
      <c r="H710" s="57"/>
      <c r="I710" s="3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5.75" customHeight="1">
      <c r="A711" s="1"/>
      <c r="B711" s="124"/>
      <c r="C711" s="1"/>
      <c r="D711" s="1"/>
      <c r="E711" s="3"/>
      <c r="F711" s="3"/>
      <c r="G711" s="57"/>
      <c r="H711" s="57"/>
      <c r="I711" s="3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5.75" customHeight="1">
      <c r="A712" s="1"/>
      <c r="B712" s="124"/>
      <c r="C712" s="1"/>
      <c r="D712" s="1"/>
      <c r="E712" s="3"/>
      <c r="F712" s="3"/>
      <c r="G712" s="57"/>
      <c r="H712" s="57"/>
      <c r="I712" s="3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5.75" customHeight="1">
      <c r="A713" s="1"/>
      <c r="B713" s="124"/>
      <c r="C713" s="1"/>
      <c r="D713" s="1"/>
      <c r="E713" s="3"/>
      <c r="F713" s="3"/>
      <c r="G713" s="57"/>
      <c r="H713" s="57"/>
      <c r="I713" s="3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5.75" customHeight="1">
      <c r="A714" s="1"/>
      <c r="B714" s="124"/>
      <c r="C714" s="1"/>
      <c r="D714" s="1"/>
      <c r="E714" s="3"/>
      <c r="F714" s="3"/>
      <c r="G714" s="57"/>
      <c r="H714" s="57"/>
      <c r="I714" s="3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5.75" customHeight="1">
      <c r="A715" s="1"/>
      <c r="B715" s="124"/>
      <c r="C715" s="1"/>
      <c r="D715" s="1"/>
      <c r="E715" s="3"/>
      <c r="F715" s="3"/>
      <c r="G715" s="57"/>
      <c r="H715" s="57"/>
      <c r="I715" s="3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5.75" customHeight="1">
      <c r="A716" s="1"/>
      <c r="B716" s="124"/>
      <c r="C716" s="1"/>
      <c r="D716" s="1"/>
      <c r="E716" s="3"/>
      <c r="F716" s="3"/>
      <c r="G716" s="57"/>
      <c r="H716" s="57"/>
      <c r="I716" s="3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5.75" customHeight="1">
      <c r="A717" s="1"/>
      <c r="B717" s="124"/>
      <c r="C717" s="1"/>
      <c r="D717" s="1"/>
      <c r="E717" s="3"/>
      <c r="F717" s="3"/>
      <c r="G717" s="57"/>
      <c r="H717" s="57"/>
      <c r="I717" s="3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5.75" customHeight="1">
      <c r="A718" s="1"/>
      <c r="B718" s="124"/>
      <c r="C718" s="1"/>
      <c r="D718" s="1"/>
      <c r="E718" s="3"/>
      <c r="F718" s="3"/>
      <c r="G718" s="57"/>
      <c r="H718" s="57"/>
      <c r="I718" s="3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5.75" customHeight="1">
      <c r="A719" s="1"/>
      <c r="B719" s="124"/>
      <c r="C719" s="1"/>
      <c r="D719" s="1"/>
      <c r="E719" s="3"/>
      <c r="F719" s="3"/>
      <c r="G719" s="57"/>
      <c r="H719" s="57"/>
      <c r="I719" s="3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5.75" customHeight="1">
      <c r="A720" s="1"/>
      <c r="B720" s="124"/>
      <c r="C720" s="1"/>
      <c r="D720" s="1"/>
      <c r="E720" s="3"/>
      <c r="F720" s="3"/>
      <c r="G720" s="57"/>
      <c r="H720" s="57"/>
      <c r="I720" s="3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5.75" customHeight="1">
      <c r="A721" s="1"/>
      <c r="B721" s="124"/>
      <c r="C721" s="1"/>
      <c r="D721" s="1"/>
      <c r="E721" s="3"/>
      <c r="F721" s="3"/>
      <c r="G721" s="57"/>
      <c r="H721" s="57"/>
      <c r="I721" s="3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5.75" customHeight="1">
      <c r="A722" s="1"/>
      <c r="B722" s="124"/>
      <c r="C722" s="1"/>
      <c r="D722" s="1"/>
      <c r="E722" s="3"/>
      <c r="F722" s="3"/>
      <c r="G722" s="57"/>
      <c r="H722" s="57"/>
      <c r="I722" s="3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5.75" customHeight="1">
      <c r="A723" s="1"/>
      <c r="B723" s="124"/>
      <c r="C723" s="1"/>
      <c r="D723" s="1"/>
      <c r="E723" s="3"/>
      <c r="F723" s="3"/>
      <c r="G723" s="57"/>
      <c r="H723" s="57"/>
      <c r="I723" s="3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5.75" customHeight="1">
      <c r="A724" s="1"/>
      <c r="B724" s="124"/>
      <c r="C724" s="1"/>
      <c r="D724" s="1"/>
      <c r="E724" s="3"/>
      <c r="F724" s="3"/>
      <c r="G724" s="57"/>
      <c r="H724" s="57"/>
      <c r="I724" s="3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5.75" customHeight="1">
      <c r="A725" s="1"/>
      <c r="B725" s="124"/>
      <c r="C725" s="1"/>
      <c r="D725" s="1"/>
      <c r="E725" s="3"/>
      <c r="F725" s="3"/>
      <c r="G725" s="57"/>
      <c r="H725" s="57"/>
      <c r="I725" s="3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5.75" customHeight="1">
      <c r="A726" s="1"/>
      <c r="B726" s="124"/>
      <c r="C726" s="1"/>
      <c r="D726" s="1"/>
      <c r="E726" s="3"/>
      <c r="F726" s="3"/>
      <c r="G726" s="57"/>
      <c r="H726" s="57"/>
      <c r="I726" s="3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5.75" customHeight="1">
      <c r="A727" s="1"/>
      <c r="B727" s="124"/>
      <c r="C727" s="1"/>
      <c r="D727" s="1"/>
      <c r="E727" s="3"/>
      <c r="F727" s="3"/>
      <c r="G727" s="57"/>
      <c r="H727" s="57"/>
      <c r="I727" s="3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5.75" customHeight="1">
      <c r="A728" s="1"/>
      <c r="B728" s="124"/>
      <c r="C728" s="1"/>
      <c r="D728" s="1"/>
      <c r="E728" s="3"/>
      <c r="F728" s="3"/>
      <c r="G728" s="57"/>
      <c r="H728" s="57"/>
      <c r="I728" s="3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5.75" customHeight="1">
      <c r="A729" s="1"/>
      <c r="B729" s="124"/>
      <c r="C729" s="1"/>
      <c r="D729" s="1"/>
      <c r="E729" s="3"/>
      <c r="F729" s="3"/>
      <c r="G729" s="57"/>
      <c r="H729" s="57"/>
      <c r="I729" s="3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5.75" customHeight="1">
      <c r="A730" s="1"/>
      <c r="B730" s="124"/>
      <c r="C730" s="1"/>
      <c r="D730" s="1"/>
      <c r="E730" s="3"/>
      <c r="F730" s="3"/>
      <c r="G730" s="57"/>
      <c r="H730" s="57"/>
      <c r="I730" s="3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5.75" customHeight="1">
      <c r="A731" s="1"/>
      <c r="B731" s="124"/>
      <c r="C731" s="1"/>
      <c r="D731" s="1"/>
      <c r="E731" s="3"/>
      <c r="F731" s="3"/>
      <c r="G731" s="57"/>
      <c r="H731" s="57"/>
      <c r="I731" s="3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5.75" customHeight="1">
      <c r="A732" s="1"/>
      <c r="B732" s="124"/>
      <c r="C732" s="1"/>
      <c r="D732" s="1"/>
      <c r="E732" s="3"/>
      <c r="F732" s="3"/>
      <c r="G732" s="57"/>
      <c r="H732" s="57"/>
      <c r="I732" s="3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5.75" customHeight="1">
      <c r="A733" s="1"/>
      <c r="B733" s="124"/>
      <c r="C733" s="1"/>
      <c r="D733" s="1"/>
      <c r="E733" s="3"/>
      <c r="F733" s="3"/>
      <c r="G733" s="57"/>
      <c r="H733" s="57"/>
      <c r="I733" s="3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5.75" customHeight="1">
      <c r="A734" s="1"/>
      <c r="B734" s="124"/>
      <c r="C734" s="1"/>
      <c r="D734" s="1"/>
      <c r="E734" s="3"/>
      <c r="F734" s="3"/>
      <c r="G734" s="57"/>
      <c r="H734" s="57"/>
      <c r="I734" s="3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5.75" customHeight="1">
      <c r="A735" s="1"/>
      <c r="B735" s="124"/>
      <c r="C735" s="1"/>
      <c r="D735" s="1"/>
      <c r="E735" s="3"/>
      <c r="F735" s="3"/>
      <c r="G735" s="57"/>
      <c r="H735" s="57"/>
      <c r="I735" s="3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5.75" customHeight="1">
      <c r="A736" s="1"/>
      <c r="B736" s="124"/>
      <c r="C736" s="1"/>
      <c r="D736" s="1"/>
      <c r="E736" s="3"/>
      <c r="F736" s="3"/>
      <c r="G736" s="57"/>
      <c r="H736" s="57"/>
      <c r="I736" s="3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5.75" customHeight="1">
      <c r="A737" s="1"/>
      <c r="B737" s="124"/>
      <c r="C737" s="1"/>
      <c r="D737" s="1"/>
      <c r="E737" s="3"/>
      <c r="F737" s="3"/>
      <c r="G737" s="57"/>
      <c r="H737" s="57"/>
      <c r="I737" s="3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5.75" customHeight="1">
      <c r="A738" s="1"/>
      <c r="B738" s="124"/>
      <c r="C738" s="1"/>
      <c r="D738" s="1"/>
      <c r="E738" s="3"/>
      <c r="F738" s="3"/>
      <c r="G738" s="57"/>
      <c r="H738" s="57"/>
      <c r="I738" s="3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5.75" customHeight="1">
      <c r="A739" s="1"/>
      <c r="B739" s="124"/>
      <c r="C739" s="1"/>
      <c r="D739" s="1"/>
      <c r="E739" s="3"/>
      <c r="F739" s="3"/>
      <c r="G739" s="57"/>
      <c r="H739" s="57"/>
      <c r="I739" s="3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5.75" customHeight="1">
      <c r="A740" s="1"/>
      <c r="B740" s="124"/>
      <c r="C740" s="1"/>
      <c r="D740" s="1"/>
      <c r="E740" s="3"/>
      <c r="F740" s="3"/>
      <c r="G740" s="57"/>
      <c r="H740" s="57"/>
      <c r="I740" s="3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5.75" customHeight="1">
      <c r="A741" s="1"/>
      <c r="B741" s="124"/>
      <c r="C741" s="1"/>
      <c r="D741" s="1"/>
      <c r="E741" s="3"/>
      <c r="F741" s="3"/>
      <c r="G741" s="57"/>
      <c r="H741" s="57"/>
      <c r="I741" s="3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5.75" customHeight="1">
      <c r="A742" s="1"/>
      <c r="B742" s="124"/>
      <c r="C742" s="1"/>
      <c r="D742" s="1"/>
      <c r="E742" s="3"/>
      <c r="F742" s="3"/>
      <c r="G742" s="57"/>
      <c r="H742" s="57"/>
      <c r="I742" s="3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5.75" customHeight="1">
      <c r="A743" s="1"/>
      <c r="B743" s="124"/>
      <c r="C743" s="1"/>
      <c r="D743" s="1"/>
      <c r="E743" s="3"/>
      <c r="F743" s="3"/>
      <c r="G743" s="57"/>
      <c r="H743" s="57"/>
      <c r="I743" s="3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5.75" customHeight="1">
      <c r="A744" s="1"/>
      <c r="B744" s="124"/>
      <c r="C744" s="1"/>
      <c r="D744" s="1"/>
      <c r="E744" s="3"/>
      <c r="F744" s="3"/>
      <c r="G744" s="57"/>
      <c r="H744" s="57"/>
      <c r="I744" s="3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5.75" customHeight="1">
      <c r="A745" s="1"/>
      <c r="B745" s="124"/>
      <c r="C745" s="1"/>
      <c r="D745" s="1"/>
      <c r="E745" s="3"/>
      <c r="F745" s="3"/>
      <c r="G745" s="57"/>
      <c r="H745" s="57"/>
      <c r="I745" s="3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5.75" customHeight="1">
      <c r="A746" s="1"/>
      <c r="B746" s="124"/>
      <c r="C746" s="1"/>
      <c r="D746" s="1"/>
      <c r="E746" s="3"/>
      <c r="F746" s="3"/>
      <c r="G746" s="57"/>
      <c r="H746" s="57"/>
      <c r="I746" s="3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5.75" customHeight="1">
      <c r="A747" s="1"/>
      <c r="B747" s="124"/>
      <c r="C747" s="1"/>
      <c r="D747" s="1"/>
      <c r="E747" s="3"/>
      <c r="F747" s="3"/>
      <c r="G747" s="57"/>
      <c r="H747" s="57"/>
      <c r="I747" s="3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5.75" customHeight="1">
      <c r="A748" s="1"/>
      <c r="B748" s="124"/>
      <c r="C748" s="1"/>
      <c r="D748" s="1"/>
      <c r="E748" s="3"/>
      <c r="F748" s="3"/>
      <c r="G748" s="57"/>
      <c r="H748" s="57"/>
      <c r="I748" s="3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5.75" customHeight="1">
      <c r="A749" s="1"/>
      <c r="B749" s="124"/>
      <c r="C749" s="1"/>
      <c r="D749" s="1"/>
      <c r="E749" s="3"/>
      <c r="F749" s="3"/>
      <c r="G749" s="57"/>
      <c r="H749" s="57"/>
      <c r="I749" s="3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5.75" customHeight="1">
      <c r="A750" s="1"/>
      <c r="B750" s="124"/>
      <c r="C750" s="1"/>
      <c r="D750" s="1"/>
      <c r="E750" s="3"/>
      <c r="F750" s="3"/>
      <c r="G750" s="57"/>
      <c r="H750" s="57"/>
      <c r="I750" s="3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5.75" customHeight="1">
      <c r="A751" s="1"/>
      <c r="B751" s="124"/>
      <c r="C751" s="1"/>
      <c r="D751" s="1"/>
      <c r="E751" s="3"/>
      <c r="F751" s="3"/>
      <c r="G751" s="57"/>
      <c r="H751" s="57"/>
      <c r="I751" s="3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5.75" customHeight="1">
      <c r="A752" s="1"/>
      <c r="B752" s="124"/>
      <c r="C752" s="1"/>
      <c r="D752" s="1"/>
      <c r="E752" s="3"/>
      <c r="F752" s="3"/>
      <c r="G752" s="57"/>
      <c r="H752" s="57"/>
      <c r="I752" s="3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5.75" customHeight="1">
      <c r="A753" s="1"/>
      <c r="B753" s="124"/>
      <c r="C753" s="1"/>
      <c r="D753" s="1"/>
      <c r="E753" s="3"/>
      <c r="F753" s="3"/>
      <c r="G753" s="57"/>
      <c r="H753" s="57"/>
      <c r="I753" s="3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5.75" customHeight="1">
      <c r="A754" s="1"/>
      <c r="B754" s="124"/>
      <c r="C754" s="1"/>
      <c r="D754" s="1"/>
      <c r="E754" s="3"/>
      <c r="F754" s="3"/>
      <c r="G754" s="57"/>
      <c r="H754" s="57"/>
      <c r="I754" s="3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5.75" customHeight="1">
      <c r="A755" s="1"/>
      <c r="B755" s="124"/>
      <c r="C755" s="1"/>
      <c r="D755" s="1"/>
      <c r="E755" s="3"/>
      <c r="F755" s="3"/>
      <c r="G755" s="57"/>
      <c r="H755" s="57"/>
      <c r="I755" s="3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5.75" customHeight="1">
      <c r="A756" s="1"/>
      <c r="B756" s="124"/>
      <c r="C756" s="1"/>
      <c r="D756" s="1"/>
      <c r="E756" s="3"/>
      <c r="F756" s="3"/>
      <c r="G756" s="57"/>
      <c r="H756" s="57"/>
      <c r="I756" s="3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5.75" customHeight="1">
      <c r="A757" s="1"/>
      <c r="B757" s="124"/>
      <c r="C757" s="1"/>
      <c r="D757" s="1"/>
      <c r="E757" s="3"/>
      <c r="F757" s="3"/>
      <c r="G757" s="57"/>
      <c r="H757" s="57"/>
      <c r="I757" s="3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5.75" customHeight="1">
      <c r="A758" s="1"/>
      <c r="B758" s="124"/>
      <c r="C758" s="1"/>
      <c r="D758" s="1"/>
      <c r="E758" s="3"/>
      <c r="F758" s="3"/>
      <c r="G758" s="57"/>
      <c r="H758" s="57"/>
      <c r="I758" s="3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5.75" customHeight="1">
      <c r="A759" s="1"/>
      <c r="B759" s="124"/>
      <c r="C759" s="1"/>
      <c r="D759" s="1"/>
      <c r="E759" s="3"/>
      <c r="F759" s="3"/>
      <c r="G759" s="57"/>
      <c r="H759" s="57"/>
      <c r="I759" s="3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5.75" customHeight="1">
      <c r="A760" s="1"/>
      <c r="B760" s="124"/>
      <c r="C760" s="1"/>
      <c r="D760" s="1"/>
      <c r="E760" s="3"/>
      <c r="F760" s="3"/>
      <c r="G760" s="57"/>
      <c r="H760" s="57"/>
      <c r="I760" s="3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5.75" customHeight="1">
      <c r="A761" s="1"/>
      <c r="B761" s="124"/>
      <c r="C761" s="1"/>
      <c r="D761" s="1"/>
      <c r="E761" s="3"/>
      <c r="F761" s="3"/>
      <c r="G761" s="57"/>
      <c r="H761" s="57"/>
      <c r="I761" s="3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5.75" customHeight="1">
      <c r="A762" s="1"/>
      <c r="B762" s="124"/>
      <c r="C762" s="1"/>
      <c r="D762" s="1"/>
      <c r="E762" s="3"/>
      <c r="F762" s="3"/>
      <c r="G762" s="57"/>
      <c r="H762" s="57"/>
      <c r="I762" s="3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5.75" customHeight="1">
      <c r="A763" s="1"/>
      <c r="B763" s="124"/>
      <c r="C763" s="1"/>
      <c r="D763" s="1"/>
      <c r="E763" s="3"/>
      <c r="F763" s="3"/>
      <c r="G763" s="57"/>
      <c r="H763" s="57"/>
      <c r="I763" s="3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5.75" customHeight="1">
      <c r="A764" s="1"/>
      <c r="B764" s="124"/>
      <c r="C764" s="1"/>
      <c r="D764" s="1"/>
      <c r="E764" s="3"/>
      <c r="F764" s="3"/>
      <c r="G764" s="57"/>
      <c r="H764" s="57"/>
      <c r="I764" s="3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5.75" customHeight="1">
      <c r="A765" s="1"/>
      <c r="B765" s="124"/>
      <c r="C765" s="1"/>
      <c r="D765" s="1"/>
      <c r="E765" s="3"/>
      <c r="F765" s="3"/>
      <c r="G765" s="57"/>
      <c r="H765" s="57"/>
      <c r="I765" s="3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5.75" customHeight="1">
      <c r="A766" s="1"/>
      <c r="B766" s="124"/>
      <c r="C766" s="1"/>
      <c r="D766" s="1"/>
      <c r="E766" s="3"/>
      <c r="F766" s="3"/>
      <c r="G766" s="57"/>
      <c r="H766" s="57"/>
      <c r="I766" s="3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5.75" customHeight="1">
      <c r="A767" s="1"/>
      <c r="B767" s="124"/>
      <c r="C767" s="1"/>
      <c r="D767" s="1"/>
      <c r="E767" s="3"/>
      <c r="F767" s="3"/>
      <c r="G767" s="57"/>
      <c r="H767" s="57"/>
      <c r="I767" s="3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5.75" customHeight="1">
      <c r="A768" s="1"/>
      <c r="B768" s="124"/>
      <c r="C768" s="1"/>
      <c r="D768" s="1"/>
      <c r="E768" s="3"/>
      <c r="F768" s="3"/>
      <c r="G768" s="57"/>
      <c r="H768" s="57"/>
      <c r="I768" s="3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5.75" customHeight="1">
      <c r="A769" s="1"/>
      <c r="B769" s="124"/>
      <c r="C769" s="1"/>
      <c r="D769" s="1"/>
      <c r="E769" s="3"/>
      <c r="F769" s="3"/>
      <c r="G769" s="57"/>
      <c r="H769" s="57"/>
      <c r="I769" s="3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5.75" customHeight="1">
      <c r="A770" s="1"/>
      <c r="B770" s="124"/>
      <c r="C770" s="1"/>
      <c r="D770" s="1"/>
      <c r="E770" s="3"/>
      <c r="F770" s="3"/>
      <c r="G770" s="57"/>
      <c r="H770" s="57"/>
      <c r="I770" s="3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5.75" customHeight="1">
      <c r="A771" s="1"/>
      <c r="B771" s="124"/>
      <c r="C771" s="1"/>
      <c r="D771" s="1"/>
      <c r="E771" s="3"/>
      <c r="F771" s="3"/>
      <c r="G771" s="57"/>
      <c r="H771" s="57"/>
      <c r="I771" s="3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5.75" customHeight="1">
      <c r="A772" s="1"/>
      <c r="B772" s="124"/>
      <c r="C772" s="1"/>
      <c r="D772" s="1"/>
      <c r="E772" s="3"/>
      <c r="F772" s="3"/>
      <c r="G772" s="57"/>
      <c r="H772" s="57"/>
      <c r="I772" s="3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5.75" customHeight="1">
      <c r="A773" s="1"/>
      <c r="B773" s="124"/>
      <c r="C773" s="1"/>
      <c r="D773" s="1"/>
      <c r="E773" s="3"/>
      <c r="F773" s="3"/>
      <c r="G773" s="57"/>
      <c r="H773" s="57"/>
      <c r="I773" s="3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5.75" customHeight="1">
      <c r="A774" s="1"/>
      <c r="B774" s="124"/>
      <c r="C774" s="1"/>
      <c r="D774" s="1"/>
      <c r="E774" s="3"/>
      <c r="F774" s="3"/>
      <c r="G774" s="57"/>
      <c r="H774" s="57"/>
      <c r="I774" s="3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5.75" customHeight="1">
      <c r="A775" s="1"/>
      <c r="B775" s="124"/>
      <c r="C775" s="1"/>
      <c r="D775" s="1"/>
      <c r="E775" s="3"/>
      <c r="F775" s="3"/>
      <c r="G775" s="57"/>
      <c r="H775" s="57"/>
      <c r="I775" s="3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5.75" customHeight="1">
      <c r="A776" s="1"/>
      <c r="B776" s="124"/>
      <c r="C776" s="1"/>
      <c r="D776" s="1"/>
      <c r="E776" s="3"/>
      <c r="F776" s="3"/>
      <c r="G776" s="57"/>
      <c r="H776" s="57"/>
      <c r="I776" s="3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5.75" customHeight="1">
      <c r="A777" s="1"/>
      <c r="B777" s="124"/>
      <c r="C777" s="1"/>
      <c r="D777" s="1"/>
      <c r="E777" s="3"/>
      <c r="F777" s="3"/>
      <c r="G777" s="57"/>
      <c r="H777" s="57"/>
      <c r="I777" s="3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5.75" customHeight="1">
      <c r="A778" s="1"/>
      <c r="B778" s="124"/>
      <c r="C778" s="1"/>
      <c r="D778" s="1"/>
      <c r="E778" s="3"/>
      <c r="F778" s="3"/>
      <c r="G778" s="57"/>
      <c r="H778" s="57"/>
      <c r="I778" s="3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5.75" customHeight="1">
      <c r="A779" s="1"/>
      <c r="B779" s="124"/>
      <c r="C779" s="1"/>
      <c r="D779" s="1"/>
      <c r="E779" s="3"/>
      <c r="F779" s="3"/>
      <c r="G779" s="57"/>
      <c r="H779" s="57"/>
      <c r="I779" s="3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5.75" customHeight="1">
      <c r="A780" s="1"/>
      <c r="B780" s="124"/>
      <c r="C780" s="1"/>
      <c r="D780" s="1"/>
      <c r="E780" s="3"/>
      <c r="F780" s="3"/>
      <c r="G780" s="57"/>
      <c r="H780" s="57"/>
      <c r="I780" s="3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5.75" customHeight="1">
      <c r="A781" s="1"/>
      <c r="B781" s="124"/>
      <c r="C781" s="1"/>
      <c r="D781" s="1"/>
      <c r="E781" s="3"/>
      <c r="F781" s="3"/>
      <c r="G781" s="57"/>
      <c r="H781" s="57"/>
      <c r="I781" s="3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5.75" customHeight="1">
      <c r="A782" s="1"/>
      <c r="B782" s="124"/>
      <c r="C782" s="1"/>
      <c r="D782" s="1"/>
      <c r="E782" s="3"/>
      <c r="F782" s="3"/>
      <c r="G782" s="57"/>
      <c r="H782" s="57"/>
      <c r="I782" s="3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5.75" customHeight="1">
      <c r="A783" s="1"/>
      <c r="B783" s="124"/>
      <c r="C783" s="1"/>
      <c r="D783" s="1"/>
      <c r="E783" s="3"/>
      <c r="F783" s="3"/>
      <c r="G783" s="57"/>
      <c r="H783" s="57"/>
      <c r="I783" s="3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5.75" customHeight="1">
      <c r="A784" s="1"/>
      <c r="B784" s="124"/>
      <c r="C784" s="1"/>
      <c r="D784" s="1"/>
      <c r="E784" s="3"/>
      <c r="F784" s="3"/>
      <c r="G784" s="57"/>
      <c r="H784" s="57"/>
      <c r="I784" s="3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5.75" customHeight="1">
      <c r="A785" s="1"/>
      <c r="B785" s="124"/>
      <c r="C785" s="1"/>
      <c r="D785" s="1"/>
      <c r="E785" s="3"/>
      <c r="F785" s="3"/>
      <c r="G785" s="57"/>
      <c r="H785" s="57"/>
      <c r="I785" s="3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5.75" customHeight="1">
      <c r="A786" s="1"/>
      <c r="B786" s="124"/>
      <c r="C786" s="1"/>
      <c r="D786" s="1"/>
      <c r="E786" s="3"/>
      <c r="F786" s="3"/>
      <c r="G786" s="57"/>
      <c r="H786" s="57"/>
      <c r="I786" s="3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5.75" customHeight="1">
      <c r="A787" s="1"/>
      <c r="B787" s="124"/>
      <c r="C787" s="1"/>
      <c r="D787" s="1"/>
      <c r="E787" s="3"/>
      <c r="F787" s="3"/>
      <c r="G787" s="57"/>
      <c r="H787" s="57"/>
      <c r="I787" s="3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5.75" customHeight="1">
      <c r="A788" s="1"/>
      <c r="B788" s="124"/>
      <c r="C788" s="1"/>
      <c r="D788" s="1"/>
      <c r="E788" s="3"/>
      <c r="F788" s="3"/>
      <c r="G788" s="57"/>
      <c r="H788" s="57"/>
      <c r="I788" s="3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5.75" customHeight="1">
      <c r="A789" s="1"/>
      <c r="B789" s="124"/>
      <c r="C789" s="1"/>
      <c r="D789" s="1"/>
      <c r="E789" s="3"/>
      <c r="F789" s="3"/>
      <c r="G789" s="57"/>
      <c r="H789" s="57"/>
      <c r="I789" s="3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5.75" customHeight="1">
      <c r="A790" s="1"/>
      <c r="B790" s="124"/>
      <c r="C790" s="1"/>
      <c r="D790" s="1"/>
      <c r="E790" s="3"/>
      <c r="F790" s="3"/>
      <c r="G790" s="57"/>
      <c r="H790" s="57"/>
      <c r="I790" s="3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5.75" customHeight="1">
      <c r="A791" s="1"/>
      <c r="B791" s="124"/>
      <c r="C791" s="1"/>
      <c r="D791" s="1"/>
      <c r="E791" s="3"/>
      <c r="F791" s="3"/>
      <c r="G791" s="57"/>
      <c r="H791" s="57"/>
      <c r="I791" s="3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5.75" customHeight="1">
      <c r="A792" s="1"/>
      <c r="B792" s="124"/>
      <c r="C792" s="1"/>
      <c r="D792" s="1"/>
      <c r="E792" s="3"/>
      <c r="F792" s="3"/>
      <c r="G792" s="57"/>
      <c r="H792" s="57"/>
      <c r="I792" s="3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5.75" customHeight="1">
      <c r="A793" s="1"/>
      <c r="B793" s="124"/>
      <c r="C793" s="1"/>
      <c r="D793" s="1"/>
      <c r="E793" s="3"/>
      <c r="F793" s="3"/>
      <c r="G793" s="57"/>
      <c r="H793" s="57"/>
      <c r="I793" s="3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5.75" customHeight="1">
      <c r="A794" s="1"/>
      <c r="B794" s="124"/>
      <c r="C794" s="1"/>
      <c r="D794" s="1"/>
      <c r="E794" s="3"/>
      <c r="F794" s="3"/>
      <c r="G794" s="57"/>
      <c r="H794" s="57"/>
      <c r="I794" s="3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5.75" customHeight="1">
      <c r="A795" s="1"/>
      <c r="B795" s="124"/>
      <c r="C795" s="1"/>
      <c r="D795" s="1"/>
      <c r="E795" s="3"/>
      <c r="F795" s="3"/>
      <c r="G795" s="57"/>
      <c r="H795" s="57"/>
      <c r="I795" s="3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5.75" customHeight="1">
      <c r="A796" s="1"/>
      <c r="B796" s="124"/>
      <c r="C796" s="1"/>
      <c r="D796" s="1"/>
      <c r="E796" s="3"/>
      <c r="F796" s="3"/>
      <c r="G796" s="57"/>
      <c r="H796" s="57"/>
      <c r="I796" s="3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5.75" customHeight="1">
      <c r="A797" s="1"/>
      <c r="B797" s="124"/>
      <c r="C797" s="1"/>
      <c r="D797" s="1"/>
      <c r="E797" s="3"/>
      <c r="F797" s="3"/>
      <c r="G797" s="57"/>
      <c r="H797" s="57"/>
      <c r="I797" s="3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5.75" customHeight="1">
      <c r="A798" s="1"/>
      <c r="B798" s="124"/>
      <c r="C798" s="1"/>
      <c r="D798" s="1"/>
      <c r="E798" s="3"/>
      <c r="F798" s="3"/>
      <c r="G798" s="57"/>
      <c r="H798" s="57"/>
      <c r="I798" s="3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5.75" customHeight="1">
      <c r="A799" s="1"/>
      <c r="B799" s="124"/>
      <c r="C799" s="1"/>
      <c r="D799" s="1"/>
      <c r="E799" s="3"/>
      <c r="F799" s="3"/>
      <c r="G799" s="57"/>
      <c r="H799" s="57"/>
      <c r="I799" s="3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5.75" customHeight="1">
      <c r="A800" s="1"/>
      <c r="B800" s="124"/>
      <c r="C800" s="1"/>
      <c r="D800" s="1"/>
      <c r="E800" s="3"/>
      <c r="F800" s="3"/>
      <c r="G800" s="57"/>
      <c r="H800" s="57"/>
      <c r="I800" s="3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5.75" customHeight="1">
      <c r="A801" s="1"/>
      <c r="B801" s="124"/>
      <c r="C801" s="1"/>
      <c r="D801" s="1"/>
      <c r="E801" s="3"/>
      <c r="F801" s="3"/>
      <c r="G801" s="57"/>
      <c r="H801" s="57"/>
      <c r="I801" s="3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5.75" customHeight="1">
      <c r="A802" s="1"/>
      <c r="B802" s="124"/>
      <c r="C802" s="1"/>
      <c r="D802" s="1"/>
      <c r="E802" s="3"/>
      <c r="F802" s="3"/>
      <c r="G802" s="57"/>
      <c r="H802" s="57"/>
      <c r="I802" s="3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5.75" customHeight="1">
      <c r="A803" s="1"/>
      <c r="B803" s="124"/>
      <c r="C803" s="1"/>
      <c r="D803" s="1"/>
      <c r="E803" s="3"/>
      <c r="F803" s="3"/>
      <c r="G803" s="57"/>
      <c r="H803" s="57"/>
      <c r="I803" s="3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5.75" customHeight="1">
      <c r="A804" s="1"/>
      <c r="B804" s="124"/>
      <c r="C804" s="1"/>
      <c r="D804" s="1"/>
      <c r="E804" s="3"/>
      <c r="F804" s="3"/>
      <c r="G804" s="57"/>
      <c r="H804" s="57"/>
      <c r="I804" s="3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5.75" customHeight="1">
      <c r="A805" s="1"/>
      <c r="B805" s="124"/>
      <c r="C805" s="1"/>
      <c r="D805" s="1"/>
      <c r="E805" s="3"/>
      <c r="F805" s="3"/>
      <c r="G805" s="57"/>
      <c r="H805" s="57"/>
      <c r="I805" s="3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5.75" customHeight="1">
      <c r="A806" s="1"/>
      <c r="B806" s="124"/>
      <c r="C806" s="1"/>
      <c r="D806" s="1"/>
      <c r="E806" s="3"/>
      <c r="F806" s="3"/>
      <c r="G806" s="57"/>
      <c r="H806" s="57"/>
      <c r="I806" s="3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5.75" customHeight="1">
      <c r="A807" s="1"/>
      <c r="B807" s="124"/>
      <c r="C807" s="1"/>
      <c r="D807" s="1"/>
      <c r="E807" s="3"/>
      <c r="F807" s="3"/>
      <c r="G807" s="57"/>
      <c r="H807" s="57"/>
      <c r="I807" s="3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5.75" customHeight="1">
      <c r="A808" s="1"/>
      <c r="B808" s="124"/>
      <c r="C808" s="1"/>
      <c r="D808" s="1"/>
      <c r="E808" s="3"/>
      <c r="F808" s="3"/>
      <c r="G808" s="57"/>
      <c r="H808" s="57"/>
      <c r="I808" s="3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5.75" customHeight="1">
      <c r="A809" s="1"/>
      <c r="B809" s="124"/>
      <c r="C809" s="1"/>
      <c r="D809" s="1"/>
      <c r="E809" s="3"/>
      <c r="F809" s="3"/>
      <c r="G809" s="57"/>
      <c r="H809" s="57"/>
      <c r="I809" s="3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5.75" customHeight="1">
      <c r="A810" s="1"/>
      <c r="B810" s="124"/>
      <c r="C810" s="1"/>
      <c r="D810" s="1"/>
      <c r="E810" s="3"/>
      <c r="F810" s="3"/>
      <c r="G810" s="57"/>
      <c r="H810" s="57"/>
      <c r="I810" s="3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5.75" customHeight="1">
      <c r="A811" s="1"/>
      <c r="B811" s="124"/>
      <c r="C811" s="1"/>
      <c r="D811" s="1"/>
      <c r="E811" s="3"/>
      <c r="F811" s="3"/>
      <c r="G811" s="57"/>
      <c r="H811" s="57"/>
      <c r="I811" s="3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5.75" customHeight="1">
      <c r="A812" s="1"/>
      <c r="B812" s="124"/>
      <c r="C812" s="1"/>
      <c r="D812" s="1"/>
      <c r="E812" s="3"/>
      <c r="F812" s="3"/>
      <c r="G812" s="57"/>
      <c r="H812" s="57"/>
      <c r="I812" s="3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5.75" customHeight="1">
      <c r="A813" s="1"/>
      <c r="B813" s="124"/>
      <c r="C813" s="1"/>
      <c r="D813" s="1"/>
      <c r="E813" s="3"/>
      <c r="F813" s="3"/>
      <c r="G813" s="57"/>
      <c r="H813" s="57"/>
      <c r="I813" s="3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5.75" customHeight="1">
      <c r="A814" s="1"/>
      <c r="B814" s="124"/>
      <c r="C814" s="1"/>
      <c r="D814" s="1"/>
      <c r="E814" s="3"/>
      <c r="F814" s="3"/>
      <c r="G814" s="57"/>
      <c r="H814" s="57"/>
      <c r="I814" s="3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5.75" customHeight="1">
      <c r="A815" s="1"/>
      <c r="B815" s="124"/>
      <c r="C815" s="1"/>
      <c r="D815" s="1"/>
      <c r="E815" s="3"/>
      <c r="F815" s="3"/>
      <c r="G815" s="57"/>
      <c r="H815" s="57"/>
      <c r="I815" s="3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5.75" customHeight="1">
      <c r="A816" s="1"/>
      <c r="B816" s="124"/>
      <c r="C816" s="1"/>
      <c r="D816" s="1"/>
      <c r="E816" s="3"/>
      <c r="F816" s="3"/>
      <c r="G816" s="57"/>
      <c r="H816" s="57"/>
      <c r="I816" s="3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5.75" customHeight="1">
      <c r="A817" s="1"/>
      <c r="B817" s="124"/>
      <c r="C817" s="1"/>
      <c r="D817" s="1"/>
      <c r="E817" s="3"/>
      <c r="F817" s="3"/>
      <c r="G817" s="57"/>
      <c r="H817" s="57"/>
      <c r="I817" s="3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5.75" customHeight="1">
      <c r="A818" s="1"/>
      <c r="B818" s="124"/>
      <c r="C818" s="1"/>
      <c r="D818" s="1"/>
      <c r="E818" s="3"/>
      <c r="F818" s="3"/>
      <c r="G818" s="57"/>
      <c r="H818" s="57"/>
      <c r="I818" s="3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5.75" customHeight="1">
      <c r="A819" s="1"/>
      <c r="B819" s="124"/>
      <c r="C819" s="1"/>
      <c r="D819" s="1"/>
      <c r="E819" s="3"/>
      <c r="F819" s="3"/>
      <c r="G819" s="57"/>
      <c r="H819" s="57"/>
      <c r="I819" s="3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5.75" customHeight="1">
      <c r="A820" s="1"/>
      <c r="B820" s="124"/>
      <c r="C820" s="1"/>
      <c r="D820" s="1"/>
      <c r="E820" s="3"/>
      <c r="F820" s="3"/>
      <c r="G820" s="57"/>
      <c r="H820" s="57"/>
      <c r="I820" s="3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5.75" customHeight="1">
      <c r="A821" s="1"/>
      <c r="B821" s="124"/>
      <c r="C821" s="1"/>
      <c r="D821" s="1"/>
      <c r="E821" s="3"/>
      <c r="F821" s="3"/>
      <c r="G821" s="57"/>
      <c r="H821" s="57"/>
      <c r="I821" s="3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5.75" customHeight="1">
      <c r="A822" s="1"/>
      <c r="B822" s="124"/>
      <c r="C822" s="1"/>
      <c r="D822" s="1"/>
      <c r="E822" s="3"/>
      <c r="F822" s="3"/>
      <c r="G822" s="57"/>
      <c r="H822" s="57"/>
      <c r="I822" s="3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5.75" customHeight="1">
      <c r="A823" s="1"/>
      <c r="B823" s="124"/>
      <c r="C823" s="1"/>
      <c r="D823" s="1"/>
      <c r="E823" s="3"/>
      <c r="F823" s="3"/>
      <c r="G823" s="57"/>
      <c r="H823" s="57"/>
      <c r="I823" s="3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5.75" customHeight="1">
      <c r="A824" s="1"/>
      <c r="B824" s="124"/>
      <c r="C824" s="1"/>
      <c r="D824" s="1"/>
      <c r="E824" s="3"/>
      <c r="F824" s="3"/>
      <c r="G824" s="57"/>
      <c r="H824" s="57"/>
      <c r="I824" s="3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5.75" customHeight="1">
      <c r="A825" s="1"/>
      <c r="B825" s="124"/>
      <c r="C825" s="1"/>
      <c r="D825" s="1"/>
      <c r="E825" s="3"/>
      <c r="F825" s="3"/>
      <c r="G825" s="57"/>
      <c r="H825" s="57"/>
      <c r="I825" s="3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5.75" customHeight="1">
      <c r="A826" s="1"/>
      <c r="B826" s="124"/>
      <c r="C826" s="1"/>
      <c r="D826" s="1"/>
      <c r="E826" s="3"/>
      <c r="F826" s="3"/>
      <c r="G826" s="57"/>
      <c r="H826" s="57"/>
      <c r="I826" s="3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5.75" customHeight="1">
      <c r="A827" s="1"/>
      <c r="B827" s="124"/>
      <c r="C827" s="1"/>
      <c r="D827" s="1"/>
      <c r="E827" s="3"/>
      <c r="F827" s="3"/>
      <c r="G827" s="57"/>
      <c r="H827" s="57"/>
      <c r="I827" s="3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5.75" customHeight="1">
      <c r="A828" s="1"/>
      <c r="B828" s="124"/>
      <c r="C828" s="1"/>
      <c r="D828" s="1"/>
      <c r="E828" s="3"/>
      <c r="F828" s="3"/>
      <c r="G828" s="57"/>
      <c r="H828" s="57"/>
      <c r="I828" s="3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5.75" customHeight="1">
      <c r="A829" s="1"/>
      <c r="B829" s="124"/>
      <c r="C829" s="1"/>
      <c r="D829" s="1"/>
      <c r="E829" s="3"/>
      <c r="F829" s="3"/>
      <c r="G829" s="57"/>
      <c r="H829" s="57"/>
      <c r="I829" s="3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5.75" customHeight="1">
      <c r="A830" s="1"/>
      <c r="B830" s="124"/>
      <c r="C830" s="1"/>
      <c r="D830" s="1"/>
      <c r="E830" s="3"/>
      <c r="F830" s="3"/>
      <c r="G830" s="57"/>
      <c r="H830" s="57"/>
      <c r="I830" s="3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5.75" customHeight="1">
      <c r="A831" s="1"/>
      <c r="B831" s="124"/>
      <c r="C831" s="1"/>
      <c r="D831" s="1"/>
      <c r="E831" s="3"/>
      <c r="F831" s="3"/>
      <c r="G831" s="57"/>
      <c r="H831" s="57"/>
      <c r="I831" s="3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5.75" customHeight="1">
      <c r="A832" s="1"/>
      <c r="B832" s="124"/>
      <c r="C832" s="1"/>
      <c r="D832" s="1"/>
      <c r="E832" s="3"/>
      <c r="F832" s="3"/>
      <c r="G832" s="57"/>
      <c r="H832" s="57"/>
      <c r="I832" s="3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5.75" customHeight="1">
      <c r="A833" s="1"/>
      <c r="B833" s="124"/>
      <c r="C833" s="1"/>
      <c r="D833" s="1"/>
      <c r="E833" s="3"/>
      <c r="F833" s="3"/>
      <c r="G833" s="57"/>
      <c r="H833" s="57"/>
      <c r="I833" s="3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5.75" customHeight="1">
      <c r="A834" s="1"/>
      <c r="B834" s="124"/>
      <c r="C834" s="1"/>
      <c r="D834" s="1"/>
      <c r="E834" s="3"/>
      <c r="F834" s="3"/>
      <c r="G834" s="57"/>
      <c r="H834" s="57"/>
      <c r="I834" s="3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5.75" customHeight="1">
      <c r="A835" s="1"/>
      <c r="B835" s="124"/>
      <c r="C835" s="1"/>
      <c r="D835" s="1"/>
      <c r="E835" s="3"/>
      <c r="F835" s="3"/>
      <c r="G835" s="57"/>
      <c r="H835" s="57"/>
      <c r="I835" s="3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5.75" customHeight="1">
      <c r="A836" s="1"/>
      <c r="B836" s="124"/>
      <c r="C836" s="1"/>
      <c r="D836" s="1"/>
      <c r="E836" s="3"/>
      <c r="F836" s="3"/>
      <c r="G836" s="57"/>
      <c r="H836" s="57"/>
      <c r="I836" s="3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5.75" customHeight="1">
      <c r="A837" s="1"/>
      <c r="B837" s="124"/>
      <c r="C837" s="1"/>
      <c r="D837" s="1"/>
      <c r="E837" s="3"/>
      <c r="F837" s="3"/>
      <c r="G837" s="57"/>
      <c r="H837" s="57"/>
      <c r="I837" s="3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5.75" customHeight="1">
      <c r="A838" s="1"/>
      <c r="B838" s="124"/>
      <c r="C838" s="1"/>
      <c r="D838" s="1"/>
      <c r="E838" s="3"/>
      <c r="F838" s="3"/>
      <c r="G838" s="57"/>
      <c r="H838" s="57"/>
      <c r="I838" s="3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5.75" customHeight="1">
      <c r="A839" s="1"/>
      <c r="B839" s="124"/>
      <c r="C839" s="1"/>
      <c r="D839" s="1"/>
      <c r="E839" s="3"/>
      <c r="F839" s="3"/>
      <c r="G839" s="57"/>
      <c r="H839" s="57"/>
      <c r="I839" s="3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5.75" customHeight="1">
      <c r="A840" s="1"/>
      <c r="B840" s="124"/>
      <c r="C840" s="1"/>
      <c r="D840" s="1"/>
      <c r="E840" s="3"/>
      <c r="F840" s="3"/>
      <c r="G840" s="57"/>
      <c r="H840" s="57"/>
      <c r="I840" s="3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5.75" customHeight="1">
      <c r="A841" s="1"/>
      <c r="B841" s="124"/>
      <c r="C841" s="1"/>
      <c r="D841" s="1"/>
      <c r="E841" s="3"/>
      <c r="F841" s="3"/>
      <c r="G841" s="57"/>
      <c r="H841" s="57"/>
      <c r="I841" s="3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5.75" customHeight="1">
      <c r="A842" s="1"/>
      <c r="B842" s="124"/>
      <c r="C842" s="1"/>
      <c r="D842" s="1"/>
      <c r="E842" s="3"/>
      <c r="F842" s="3"/>
      <c r="G842" s="57"/>
      <c r="H842" s="57"/>
      <c r="I842" s="3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5.75" customHeight="1">
      <c r="A843" s="1"/>
      <c r="B843" s="124"/>
      <c r="C843" s="1"/>
      <c r="D843" s="1"/>
      <c r="E843" s="3"/>
      <c r="F843" s="3"/>
      <c r="G843" s="57"/>
      <c r="H843" s="57"/>
      <c r="I843" s="3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5.75" customHeight="1">
      <c r="A844" s="1"/>
      <c r="B844" s="124"/>
      <c r="C844" s="1"/>
      <c r="D844" s="1"/>
      <c r="E844" s="3"/>
      <c r="F844" s="3"/>
      <c r="G844" s="57"/>
      <c r="H844" s="57"/>
      <c r="I844" s="3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5.75" customHeight="1">
      <c r="A845" s="1"/>
      <c r="B845" s="124"/>
      <c r="C845" s="1"/>
      <c r="D845" s="1"/>
      <c r="E845" s="3"/>
      <c r="F845" s="3"/>
      <c r="G845" s="57"/>
      <c r="H845" s="57"/>
      <c r="I845" s="3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5.75" customHeight="1">
      <c r="A846" s="1"/>
      <c r="B846" s="124"/>
      <c r="C846" s="1"/>
      <c r="D846" s="1"/>
      <c r="E846" s="3"/>
      <c r="F846" s="3"/>
      <c r="G846" s="57"/>
      <c r="H846" s="57"/>
      <c r="I846" s="3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5.75" customHeight="1">
      <c r="A847" s="1"/>
      <c r="B847" s="124"/>
      <c r="C847" s="1"/>
      <c r="D847" s="1"/>
      <c r="E847" s="3"/>
      <c r="F847" s="3"/>
      <c r="G847" s="57"/>
      <c r="H847" s="57"/>
      <c r="I847" s="3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5.75" customHeight="1">
      <c r="A848" s="1"/>
      <c r="B848" s="124"/>
      <c r="C848" s="1"/>
      <c r="D848" s="1"/>
      <c r="E848" s="3"/>
      <c r="F848" s="3"/>
      <c r="G848" s="57"/>
      <c r="H848" s="57"/>
      <c r="I848" s="3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5.75" customHeight="1">
      <c r="A849" s="1"/>
      <c r="B849" s="124"/>
      <c r="C849" s="1"/>
      <c r="D849" s="1"/>
      <c r="E849" s="3"/>
      <c r="F849" s="3"/>
      <c r="G849" s="57"/>
      <c r="H849" s="57"/>
      <c r="I849" s="3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5.75" customHeight="1">
      <c r="A850" s="1"/>
      <c r="B850" s="124"/>
      <c r="C850" s="1"/>
      <c r="D850" s="1"/>
      <c r="E850" s="3"/>
      <c r="F850" s="3"/>
      <c r="G850" s="57"/>
      <c r="H850" s="57"/>
      <c r="I850" s="3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5.75" customHeight="1">
      <c r="A851" s="1"/>
      <c r="B851" s="124"/>
      <c r="C851" s="1"/>
      <c r="D851" s="1"/>
      <c r="E851" s="3"/>
      <c r="F851" s="3"/>
      <c r="G851" s="57"/>
      <c r="H851" s="57"/>
      <c r="I851" s="3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5.75" customHeight="1">
      <c r="A852" s="1"/>
      <c r="B852" s="124"/>
      <c r="C852" s="1"/>
      <c r="D852" s="1"/>
      <c r="E852" s="3"/>
      <c r="F852" s="3"/>
      <c r="G852" s="57"/>
      <c r="H852" s="57"/>
      <c r="I852" s="3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5.75" customHeight="1">
      <c r="A853" s="1"/>
      <c r="B853" s="124"/>
      <c r="C853" s="1"/>
      <c r="D853" s="1"/>
      <c r="E853" s="3"/>
      <c r="F853" s="3"/>
      <c r="G853" s="57"/>
      <c r="H853" s="57"/>
      <c r="I853" s="3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5.75" customHeight="1">
      <c r="A854" s="1"/>
      <c r="B854" s="124"/>
      <c r="C854" s="1"/>
      <c r="D854" s="1"/>
      <c r="E854" s="3"/>
      <c r="F854" s="3"/>
      <c r="G854" s="57"/>
      <c r="H854" s="57"/>
      <c r="I854" s="3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5.75" customHeight="1">
      <c r="A855" s="1"/>
      <c r="B855" s="124"/>
      <c r="C855" s="1"/>
      <c r="D855" s="1"/>
      <c r="E855" s="3"/>
      <c r="F855" s="3"/>
      <c r="G855" s="57"/>
      <c r="H855" s="57"/>
      <c r="I855" s="3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5.75" customHeight="1">
      <c r="A856" s="1"/>
      <c r="B856" s="124"/>
      <c r="C856" s="1"/>
      <c r="D856" s="1"/>
      <c r="E856" s="3"/>
      <c r="F856" s="3"/>
      <c r="G856" s="57"/>
      <c r="H856" s="57"/>
      <c r="I856" s="3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5.75" customHeight="1">
      <c r="A857" s="1"/>
      <c r="B857" s="124"/>
      <c r="C857" s="1"/>
      <c r="D857" s="1"/>
      <c r="E857" s="3"/>
      <c r="F857" s="3"/>
      <c r="G857" s="57"/>
      <c r="H857" s="57"/>
      <c r="I857" s="3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5.75" customHeight="1">
      <c r="A858" s="1"/>
      <c r="B858" s="124"/>
      <c r="C858" s="1"/>
      <c r="D858" s="1"/>
      <c r="E858" s="3"/>
      <c r="F858" s="3"/>
      <c r="G858" s="57"/>
      <c r="H858" s="57"/>
      <c r="I858" s="3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5.75" customHeight="1">
      <c r="A859" s="1"/>
      <c r="B859" s="124"/>
      <c r="C859" s="1"/>
      <c r="D859" s="1"/>
      <c r="E859" s="3"/>
      <c r="F859" s="3"/>
      <c r="G859" s="57"/>
      <c r="H859" s="57"/>
      <c r="I859" s="3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5.75" customHeight="1">
      <c r="A860" s="1"/>
      <c r="B860" s="124"/>
      <c r="C860" s="1"/>
      <c r="D860" s="1"/>
      <c r="E860" s="3"/>
      <c r="F860" s="3"/>
      <c r="G860" s="57"/>
      <c r="H860" s="57"/>
      <c r="I860" s="3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5.75" customHeight="1">
      <c r="A861" s="1"/>
      <c r="B861" s="124"/>
      <c r="C861" s="1"/>
      <c r="D861" s="1"/>
      <c r="E861" s="3"/>
      <c r="F861" s="3"/>
      <c r="G861" s="57"/>
      <c r="H861" s="57"/>
      <c r="I861" s="3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5.75" customHeight="1">
      <c r="A862" s="1"/>
      <c r="B862" s="124"/>
      <c r="C862" s="1"/>
      <c r="D862" s="1"/>
      <c r="E862" s="3"/>
      <c r="F862" s="3"/>
      <c r="G862" s="57"/>
      <c r="H862" s="57"/>
      <c r="I862" s="3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5.75" customHeight="1">
      <c r="A863" s="1"/>
      <c r="B863" s="124"/>
      <c r="C863" s="1"/>
      <c r="D863" s="1"/>
      <c r="E863" s="3"/>
      <c r="F863" s="3"/>
      <c r="G863" s="57"/>
      <c r="H863" s="57"/>
      <c r="I863" s="3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5.75" customHeight="1">
      <c r="A864" s="1"/>
      <c r="B864" s="124"/>
      <c r="C864" s="1"/>
      <c r="D864" s="1"/>
      <c r="E864" s="3"/>
      <c r="F864" s="3"/>
      <c r="G864" s="57"/>
      <c r="H864" s="57"/>
      <c r="I864" s="3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5.75" customHeight="1">
      <c r="A865" s="1"/>
      <c r="B865" s="124"/>
      <c r="C865" s="1"/>
      <c r="D865" s="1"/>
      <c r="E865" s="3"/>
      <c r="F865" s="3"/>
      <c r="G865" s="57"/>
      <c r="H865" s="57"/>
      <c r="I865" s="3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5.75" customHeight="1">
      <c r="A866" s="1"/>
      <c r="B866" s="124"/>
      <c r="C866" s="1"/>
      <c r="D866" s="1"/>
      <c r="E866" s="3"/>
      <c r="F866" s="3"/>
      <c r="G866" s="57"/>
      <c r="H866" s="57"/>
      <c r="I866" s="3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5.75" customHeight="1">
      <c r="A867" s="1"/>
      <c r="B867" s="124"/>
      <c r="C867" s="1"/>
      <c r="D867" s="1"/>
      <c r="E867" s="3"/>
      <c r="F867" s="3"/>
      <c r="G867" s="57"/>
      <c r="H867" s="57"/>
      <c r="I867" s="3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5.75" customHeight="1">
      <c r="A868" s="1"/>
      <c r="B868" s="124"/>
      <c r="C868" s="1"/>
      <c r="D868" s="1"/>
      <c r="E868" s="3"/>
      <c r="F868" s="3"/>
      <c r="G868" s="57"/>
      <c r="H868" s="57"/>
      <c r="I868" s="3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5.75" customHeight="1">
      <c r="A869" s="1"/>
      <c r="B869" s="124"/>
      <c r="C869" s="1"/>
      <c r="D869" s="1"/>
      <c r="E869" s="3"/>
      <c r="F869" s="3"/>
      <c r="G869" s="57"/>
      <c r="H869" s="57"/>
      <c r="I869" s="3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5.75" customHeight="1">
      <c r="A870" s="1"/>
      <c r="B870" s="124"/>
      <c r="C870" s="1"/>
      <c r="D870" s="1"/>
      <c r="E870" s="3"/>
      <c r="F870" s="3"/>
      <c r="G870" s="57"/>
      <c r="H870" s="57"/>
      <c r="I870" s="3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5.75" customHeight="1">
      <c r="A871" s="1"/>
      <c r="B871" s="124"/>
      <c r="C871" s="1"/>
      <c r="D871" s="1"/>
      <c r="E871" s="3"/>
      <c r="F871" s="3"/>
      <c r="G871" s="57"/>
      <c r="H871" s="57"/>
      <c r="I871" s="3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5.75" customHeight="1">
      <c r="A872" s="1"/>
      <c r="B872" s="124"/>
      <c r="C872" s="1"/>
      <c r="D872" s="1"/>
      <c r="E872" s="3"/>
      <c r="F872" s="3"/>
      <c r="G872" s="57"/>
      <c r="H872" s="57"/>
      <c r="I872" s="3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5.75" customHeight="1">
      <c r="A873" s="1"/>
      <c r="B873" s="124"/>
      <c r="C873" s="1"/>
      <c r="D873" s="1"/>
      <c r="E873" s="3"/>
      <c r="F873" s="3"/>
      <c r="G873" s="57"/>
      <c r="H873" s="57"/>
      <c r="I873" s="3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5.75" customHeight="1">
      <c r="A874" s="1"/>
      <c r="B874" s="124"/>
      <c r="C874" s="1"/>
      <c r="D874" s="1"/>
      <c r="E874" s="3"/>
      <c r="F874" s="3"/>
      <c r="G874" s="57"/>
      <c r="H874" s="57"/>
      <c r="I874" s="3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5.75" customHeight="1">
      <c r="A875" s="1"/>
      <c r="B875" s="124"/>
      <c r="C875" s="1"/>
      <c r="D875" s="1"/>
      <c r="E875" s="3"/>
      <c r="F875" s="3"/>
      <c r="G875" s="57"/>
      <c r="H875" s="57"/>
      <c r="I875" s="3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5.75" customHeight="1">
      <c r="A876" s="1"/>
      <c r="B876" s="124"/>
      <c r="C876" s="1"/>
      <c r="D876" s="1"/>
      <c r="E876" s="3"/>
      <c r="F876" s="3"/>
      <c r="G876" s="57"/>
      <c r="H876" s="57"/>
      <c r="I876" s="3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5.75" customHeight="1">
      <c r="A877" s="1"/>
      <c r="B877" s="124"/>
      <c r="C877" s="1"/>
      <c r="D877" s="1"/>
      <c r="E877" s="3"/>
      <c r="F877" s="3"/>
      <c r="G877" s="57"/>
      <c r="H877" s="57"/>
      <c r="I877" s="3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5.75" customHeight="1">
      <c r="A878" s="1"/>
      <c r="B878" s="124"/>
      <c r="C878" s="1"/>
      <c r="D878" s="1"/>
      <c r="E878" s="3"/>
      <c r="F878" s="3"/>
      <c r="G878" s="57"/>
      <c r="H878" s="57"/>
      <c r="I878" s="3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5.75" customHeight="1">
      <c r="A879" s="1"/>
      <c r="B879" s="124"/>
      <c r="C879" s="1"/>
      <c r="D879" s="1"/>
      <c r="E879" s="3"/>
      <c r="F879" s="3"/>
      <c r="G879" s="57"/>
      <c r="H879" s="57"/>
      <c r="I879" s="3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5.75" customHeight="1">
      <c r="A880" s="1"/>
      <c r="B880" s="124"/>
      <c r="C880" s="1"/>
      <c r="D880" s="1"/>
      <c r="E880" s="3"/>
      <c r="F880" s="3"/>
      <c r="G880" s="57"/>
      <c r="H880" s="57"/>
      <c r="I880" s="3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5.75" customHeight="1">
      <c r="A881" s="1"/>
      <c r="B881" s="124"/>
      <c r="C881" s="1"/>
      <c r="D881" s="1"/>
      <c r="E881" s="3"/>
      <c r="F881" s="3"/>
      <c r="G881" s="57"/>
      <c r="H881" s="57"/>
      <c r="I881" s="3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5.75" customHeight="1">
      <c r="A882" s="1"/>
      <c r="B882" s="124"/>
      <c r="C882" s="1"/>
      <c r="D882" s="1"/>
      <c r="E882" s="3"/>
      <c r="F882" s="3"/>
      <c r="G882" s="57"/>
      <c r="H882" s="57"/>
      <c r="I882" s="3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5.75" customHeight="1">
      <c r="A883" s="1"/>
      <c r="B883" s="124"/>
      <c r="C883" s="1"/>
      <c r="D883" s="1"/>
      <c r="E883" s="3"/>
      <c r="F883" s="3"/>
      <c r="G883" s="57"/>
      <c r="H883" s="57"/>
      <c r="I883" s="3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5.75" customHeight="1">
      <c r="A884" s="1"/>
      <c r="B884" s="124"/>
      <c r="C884" s="1"/>
      <c r="D884" s="1"/>
      <c r="E884" s="3"/>
      <c r="F884" s="3"/>
      <c r="G884" s="57"/>
      <c r="H884" s="57"/>
      <c r="I884" s="3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5.75" customHeight="1">
      <c r="A885" s="1"/>
      <c r="B885" s="124"/>
      <c r="C885" s="1"/>
      <c r="D885" s="1"/>
      <c r="E885" s="3"/>
      <c r="F885" s="3"/>
      <c r="G885" s="57"/>
      <c r="H885" s="57"/>
      <c r="I885" s="3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5.75" customHeight="1">
      <c r="A886" s="1"/>
      <c r="B886" s="124"/>
      <c r="C886" s="1"/>
      <c r="D886" s="1"/>
      <c r="E886" s="3"/>
      <c r="F886" s="3"/>
      <c r="G886" s="57"/>
      <c r="H886" s="57"/>
      <c r="I886" s="3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5.75" customHeight="1">
      <c r="A887" s="1"/>
      <c r="B887" s="124"/>
      <c r="C887" s="1"/>
      <c r="D887" s="1"/>
      <c r="E887" s="3"/>
      <c r="F887" s="3"/>
      <c r="G887" s="57"/>
      <c r="H887" s="57"/>
      <c r="I887" s="3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5.75" customHeight="1">
      <c r="A888" s="1"/>
      <c r="B888" s="124"/>
      <c r="C888" s="1"/>
      <c r="D888" s="1"/>
      <c r="E888" s="3"/>
      <c r="F888" s="3"/>
      <c r="G888" s="57"/>
      <c r="H888" s="57"/>
      <c r="I888" s="3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5.75" customHeight="1">
      <c r="A889" s="1"/>
      <c r="B889" s="124"/>
      <c r="C889" s="1"/>
      <c r="D889" s="1"/>
      <c r="E889" s="3"/>
      <c r="F889" s="3"/>
      <c r="G889" s="57"/>
      <c r="H889" s="57"/>
      <c r="I889" s="3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5.75" customHeight="1">
      <c r="A890" s="1"/>
      <c r="B890" s="124"/>
      <c r="C890" s="1"/>
      <c r="D890" s="1"/>
      <c r="E890" s="3"/>
      <c r="F890" s="3"/>
      <c r="G890" s="57"/>
      <c r="H890" s="57"/>
      <c r="I890" s="3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5.75" customHeight="1">
      <c r="A891" s="1"/>
      <c r="B891" s="124"/>
      <c r="C891" s="1"/>
      <c r="D891" s="1"/>
      <c r="E891" s="3"/>
      <c r="F891" s="3"/>
      <c r="G891" s="57"/>
      <c r="H891" s="57"/>
      <c r="I891" s="3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5.75" customHeight="1">
      <c r="A892" s="1"/>
      <c r="B892" s="124"/>
      <c r="C892" s="1"/>
      <c r="D892" s="1"/>
      <c r="E892" s="3"/>
      <c r="F892" s="3"/>
      <c r="G892" s="57"/>
      <c r="H892" s="57"/>
      <c r="I892" s="3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5.75" customHeight="1">
      <c r="A893" s="1"/>
      <c r="B893" s="124"/>
      <c r="C893" s="1"/>
      <c r="D893" s="1"/>
      <c r="E893" s="3"/>
      <c r="F893" s="3"/>
      <c r="G893" s="57"/>
      <c r="H893" s="57"/>
      <c r="I893" s="3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5.75" customHeight="1">
      <c r="A894" s="1"/>
      <c r="B894" s="124"/>
      <c r="C894" s="1"/>
      <c r="D894" s="1"/>
      <c r="E894" s="3"/>
      <c r="F894" s="3"/>
      <c r="G894" s="57"/>
      <c r="H894" s="57"/>
      <c r="I894" s="3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5.75" customHeight="1">
      <c r="A895" s="1"/>
      <c r="B895" s="124"/>
      <c r="C895" s="1"/>
      <c r="D895" s="1"/>
      <c r="E895" s="3"/>
      <c r="F895" s="3"/>
      <c r="G895" s="57"/>
      <c r="H895" s="57"/>
      <c r="I895" s="3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5.75" customHeight="1">
      <c r="A896" s="1"/>
      <c r="B896" s="124"/>
      <c r="C896" s="1"/>
      <c r="D896" s="1"/>
      <c r="E896" s="3"/>
      <c r="F896" s="3"/>
      <c r="G896" s="57"/>
      <c r="H896" s="57"/>
      <c r="I896" s="3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5.75" customHeight="1">
      <c r="A897" s="1"/>
      <c r="B897" s="124"/>
      <c r="C897" s="1"/>
      <c r="D897" s="1"/>
      <c r="E897" s="3"/>
      <c r="F897" s="3"/>
      <c r="G897" s="57"/>
      <c r="H897" s="57"/>
      <c r="I897" s="3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5.75" customHeight="1">
      <c r="A898" s="1"/>
      <c r="B898" s="124"/>
      <c r="C898" s="1"/>
      <c r="D898" s="1"/>
      <c r="E898" s="3"/>
      <c r="F898" s="3"/>
      <c r="G898" s="57"/>
      <c r="H898" s="57"/>
      <c r="I898" s="3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5.75" customHeight="1">
      <c r="A899" s="1"/>
      <c r="B899" s="124"/>
      <c r="C899" s="1"/>
      <c r="D899" s="1"/>
      <c r="E899" s="3"/>
      <c r="F899" s="3"/>
      <c r="G899" s="57"/>
      <c r="H899" s="57"/>
      <c r="I899" s="3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5.75" customHeight="1">
      <c r="A900" s="1"/>
      <c r="B900" s="124"/>
      <c r="C900" s="1"/>
      <c r="D900" s="1"/>
      <c r="E900" s="3"/>
      <c r="F900" s="3"/>
      <c r="G900" s="57"/>
      <c r="H900" s="57"/>
      <c r="I900" s="3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5.75" customHeight="1">
      <c r="A901" s="1"/>
      <c r="B901" s="124"/>
      <c r="C901" s="1"/>
      <c r="D901" s="1"/>
      <c r="E901" s="3"/>
      <c r="F901" s="3"/>
      <c r="G901" s="57"/>
      <c r="H901" s="57"/>
      <c r="I901" s="3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5.75" customHeight="1">
      <c r="A902" s="1"/>
      <c r="B902" s="124"/>
      <c r="C902" s="1"/>
      <c r="D902" s="1"/>
      <c r="E902" s="3"/>
      <c r="F902" s="3"/>
      <c r="G902" s="57"/>
      <c r="H902" s="57"/>
      <c r="I902" s="3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5.75" customHeight="1">
      <c r="A903" s="1"/>
      <c r="B903" s="124"/>
      <c r="C903" s="1"/>
      <c r="D903" s="1"/>
      <c r="E903" s="3"/>
      <c r="F903" s="3"/>
      <c r="G903" s="57"/>
      <c r="H903" s="57"/>
      <c r="I903" s="3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5.75" customHeight="1">
      <c r="A904" s="1"/>
      <c r="B904" s="124"/>
      <c r="C904" s="1"/>
      <c r="D904" s="1"/>
      <c r="E904" s="3"/>
      <c r="F904" s="3"/>
      <c r="G904" s="57"/>
      <c r="H904" s="57"/>
      <c r="I904" s="3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5.75" customHeight="1">
      <c r="A905" s="1"/>
      <c r="B905" s="124"/>
      <c r="C905" s="1"/>
      <c r="D905" s="1"/>
      <c r="E905" s="3"/>
      <c r="F905" s="3"/>
      <c r="G905" s="57"/>
      <c r="H905" s="57"/>
      <c r="I905" s="3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5.75" customHeight="1">
      <c r="A906" s="1"/>
      <c r="B906" s="124"/>
      <c r="C906" s="1"/>
      <c r="D906" s="1"/>
      <c r="E906" s="3"/>
      <c r="F906" s="3"/>
      <c r="G906" s="57"/>
      <c r="H906" s="57"/>
      <c r="I906" s="3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5.75" customHeight="1">
      <c r="A907" s="1"/>
      <c r="B907" s="124"/>
      <c r="C907" s="1"/>
      <c r="D907" s="1"/>
      <c r="E907" s="3"/>
      <c r="F907" s="3"/>
      <c r="G907" s="57"/>
      <c r="H907" s="57"/>
      <c r="I907" s="3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5.75" customHeight="1">
      <c r="A908" s="1"/>
      <c r="B908" s="124"/>
      <c r="C908" s="1"/>
      <c r="D908" s="1"/>
      <c r="E908" s="3"/>
      <c r="F908" s="3"/>
      <c r="G908" s="57"/>
      <c r="H908" s="57"/>
      <c r="I908" s="3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5.75" customHeight="1">
      <c r="A909" s="1"/>
      <c r="B909" s="124"/>
      <c r="C909" s="1"/>
      <c r="D909" s="1"/>
      <c r="E909" s="3"/>
      <c r="F909" s="3"/>
      <c r="G909" s="57"/>
      <c r="H909" s="57"/>
      <c r="I909" s="3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5.75" customHeight="1">
      <c r="A910" s="1"/>
      <c r="B910" s="124"/>
      <c r="C910" s="1"/>
      <c r="D910" s="1"/>
      <c r="E910" s="3"/>
      <c r="F910" s="3"/>
      <c r="G910" s="57"/>
      <c r="H910" s="57"/>
      <c r="I910" s="3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5.75" customHeight="1">
      <c r="A911" s="1"/>
      <c r="B911" s="124"/>
      <c r="C911" s="1"/>
      <c r="D911" s="1"/>
      <c r="E911" s="3"/>
      <c r="F911" s="3"/>
      <c r="G911" s="57"/>
      <c r="H911" s="57"/>
      <c r="I911" s="3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5.75" customHeight="1">
      <c r="A912" s="1"/>
      <c r="B912" s="124"/>
      <c r="C912" s="1"/>
      <c r="D912" s="1"/>
      <c r="E912" s="3"/>
      <c r="F912" s="3"/>
      <c r="G912" s="57"/>
      <c r="H912" s="57"/>
      <c r="I912" s="3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5.75" customHeight="1">
      <c r="A913" s="1"/>
      <c r="B913" s="124"/>
      <c r="C913" s="1"/>
      <c r="D913" s="1"/>
      <c r="E913" s="3"/>
      <c r="F913" s="3"/>
      <c r="G913" s="57"/>
      <c r="H913" s="57"/>
      <c r="I913" s="3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5.75" customHeight="1">
      <c r="A914" s="1"/>
      <c r="B914" s="124"/>
      <c r="C914" s="1"/>
      <c r="D914" s="1"/>
      <c r="E914" s="3"/>
      <c r="F914" s="3"/>
      <c r="G914" s="57"/>
      <c r="H914" s="57"/>
      <c r="I914" s="3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5.75" customHeight="1">
      <c r="A915" s="1"/>
      <c r="B915" s="124"/>
      <c r="C915" s="1"/>
      <c r="D915" s="1"/>
      <c r="E915" s="3"/>
      <c r="F915" s="3"/>
      <c r="G915" s="57"/>
      <c r="H915" s="57"/>
      <c r="I915" s="3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5.75" customHeight="1">
      <c r="A916" s="1"/>
      <c r="B916" s="124"/>
      <c r="C916" s="1"/>
      <c r="D916" s="1"/>
      <c r="E916" s="3"/>
      <c r="F916" s="3"/>
      <c r="G916" s="57"/>
      <c r="H916" s="57"/>
      <c r="I916" s="3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5.75" customHeight="1">
      <c r="A917" s="1"/>
      <c r="B917" s="124"/>
      <c r="C917" s="1"/>
      <c r="D917" s="1"/>
      <c r="E917" s="3"/>
      <c r="F917" s="3"/>
      <c r="G917" s="57"/>
      <c r="H917" s="57"/>
      <c r="I917" s="3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5.75" customHeight="1">
      <c r="A918" s="1"/>
      <c r="B918" s="124"/>
      <c r="C918" s="1"/>
      <c r="D918" s="1"/>
      <c r="E918" s="3"/>
      <c r="F918" s="3"/>
      <c r="G918" s="57"/>
      <c r="H918" s="57"/>
      <c r="I918" s="3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5.75" customHeight="1">
      <c r="A919" s="1"/>
      <c r="B919" s="124"/>
      <c r="C919" s="1"/>
      <c r="D919" s="1"/>
      <c r="E919" s="3"/>
      <c r="F919" s="3"/>
      <c r="G919" s="57"/>
      <c r="H919" s="57"/>
      <c r="I919" s="3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5.75" customHeight="1">
      <c r="A920" s="1"/>
      <c r="B920" s="124"/>
      <c r="C920" s="1"/>
      <c r="D920" s="1"/>
      <c r="E920" s="3"/>
      <c r="F920" s="3"/>
      <c r="G920" s="57"/>
      <c r="H920" s="57"/>
      <c r="I920" s="3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5.75" customHeight="1">
      <c r="A921" s="1"/>
      <c r="B921" s="124"/>
      <c r="C921" s="1"/>
      <c r="D921" s="1"/>
      <c r="E921" s="3"/>
      <c r="F921" s="3"/>
      <c r="G921" s="57"/>
      <c r="H921" s="57"/>
      <c r="I921" s="3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5.75" customHeight="1">
      <c r="A922" s="1"/>
      <c r="B922" s="124"/>
      <c r="C922" s="1"/>
      <c r="D922" s="1"/>
      <c r="E922" s="3"/>
      <c r="F922" s="3"/>
      <c r="G922" s="57"/>
      <c r="H922" s="57"/>
      <c r="I922" s="3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5.75" customHeight="1">
      <c r="A923" s="1"/>
      <c r="B923" s="124"/>
      <c r="C923" s="1"/>
      <c r="D923" s="1"/>
      <c r="E923" s="3"/>
      <c r="F923" s="3"/>
      <c r="G923" s="57"/>
      <c r="H923" s="57"/>
      <c r="I923" s="3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5.75" customHeight="1">
      <c r="A924" s="1"/>
      <c r="B924" s="124"/>
      <c r="C924" s="1"/>
      <c r="D924" s="1"/>
      <c r="E924" s="3"/>
      <c r="F924" s="3"/>
      <c r="G924" s="57"/>
      <c r="H924" s="57"/>
      <c r="I924" s="3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5.75" customHeight="1">
      <c r="A925" s="1"/>
      <c r="B925" s="124"/>
      <c r="C925" s="1"/>
      <c r="D925" s="1"/>
      <c r="E925" s="3"/>
      <c r="F925" s="3"/>
      <c r="G925" s="57"/>
      <c r="H925" s="57"/>
      <c r="I925" s="3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5.75" customHeight="1">
      <c r="A926" s="1"/>
      <c r="B926" s="124"/>
      <c r="C926" s="1"/>
      <c r="D926" s="1"/>
      <c r="E926" s="3"/>
      <c r="F926" s="3"/>
      <c r="G926" s="57"/>
      <c r="H926" s="57"/>
      <c r="I926" s="3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5.75" customHeight="1">
      <c r="A927" s="1"/>
      <c r="B927" s="124"/>
      <c r="C927" s="1"/>
      <c r="D927" s="1"/>
      <c r="E927" s="3"/>
      <c r="F927" s="3"/>
      <c r="G927" s="57"/>
      <c r="H927" s="57"/>
      <c r="I927" s="3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5.75" customHeight="1">
      <c r="A928" s="1"/>
      <c r="B928" s="124"/>
      <c r="C928" s="1"/>
      <c r="D928" s="1"/>
      <c r="E928" s="3"/>
      <c r="F928" s="3"/>
      <c r="G928" s="57"/>
      <c r="H928" s="57"/>
      <c r="I928" s="3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5.75" customHeight="1">
      <c r="A929" s="1"/>
      <c r="B929" s="124"/>
      <c r="C929" s="1"/>
      <c r="D929" s="1"/>
      <c r="E929" s="3"/>
      <c r="F929" s="3"/>
      <c r="G929" s="57"/>
      <c r="H929" s="57"/>
      <c r="I929" s="3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5.75" customHeight="1">
      <c r="A930" s="1"/>
      <c r="B930" s="124"/>
      <c r="C930" s="1"/>
      <c r="D930" s="1"/>
      <c r="E930" s="3"/>
      <c r="F930" s="3"/>
      <c r="G930" s="57"/>
      <c r="H930" s="57"/>
      <c r="I930" s="3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5.75" customHeight="1">
      <c r="A931" s="1"/>
      <c r="B931" s="124"/>
      <c r="C931" s="1"/>
      <c r="D931" s="1"/>
      <c r="E931" s="3"/>
      <c r="F931" s="3"/>
      <c r="G931" s="57"/>
      <c r="H931" s="57"/>
      <c r="I931" s="3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5.75" customHeight="1">
      <c r="A932" s="1"/>
      <c r="B932" s="124"/>
      <c r="C932" s="1"/>
      <c r="D932" s="1"/>
      <c r="E932" s="3"/>
      <c r="F932" s="3"/>
      <c r="G932" s="57"/>
      <c r="H932" s="57"/>
      <c r="I932" s="3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5.75" customHeight="1">
      <c r="A933" s="1"/>
      <c r="B933" s="124"/>
      <c r="C933" s="1"/>
      <c r="D933" s="1"/>
      <c r="E933" s="3"/>
      <c r="F933" s="3"/>
      <c r="G933" s="57"/>
      <c r="H933" s="57"/>
      <c r="I933" s="3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5.75" customHeight="1">
      <c r="A934" s="1"/>
      <c r="B934" s="124"/>
      <c r="C934" s="1"/>
      <c r="D934" s="1"/>
      <c r="E934" s="3"/>
      <c r="F934" s="3"/>
      <c r="G934" s="57"/>
      <c r="H934" s="57"/>
      <c r="I934" s="3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5.75" customHeight="1">
      <c r="A935" s="1"/>
      <c r="B935" s="124"/>
      <c r="C935" s="1"/>
      <c r="D935" s="1"/>
      <c r="E935" s="3"/>
      <c r="F935" s="3"/>
      <c r="G935" s="57"/>
      <c r="H935" s="57"/>
      <c r="I935" s="3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5.75" customHeight="1">
      <c r="A936" s="1"/>
      <c r="B936" s="124"/>
      <c r="C936" s="1"/>
      <c r="D936" s="1"/>
      <c r="E936" s="3"/>
      <c r="F936" s="3"/>
      <c r="G936" s="57"/>
      <c r="H936" s="57"/>
      <c r="I936" s="3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5.75" customHeight="1">
      <c r="A937" s="1"/>
      <c r="B937" s="124"/>
      <c r="C937" s="1"/>
      <c r="D937" s="1"/>
      <c r="E937" s="3"/>
      <c r="F937" s="3"/>
      <c r="G937" s="57"/>
      <c r="H937" s="57"/>
      <c r="I937" s="3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5.75" customHeight="1">
      <c r="A938" s="1"/>
      <c r="B938" s="124"/>
      <c r="C938" s="1"/>
      <c r="D938" s="1"/>
      <c r="E938" s="3"/>
      <c r="F938" s="3"/>
      <c r="G938" s="57"/>
      <c r="H938" s="57"/>
      <c r="I938" s="3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5.75" customHeight="1">
      <c r="A939" s="1"/>
      <c r="B939" s="124"/>
      <c r="C939" s="1"/>
      <c r="D939" s="1"/>
      <c r="E939" s="3"/>
      <c r="F939" s="3"/>
      <c r="G939" s="57"/>
      <c r="H939" s="57"/>
      <c r="I939" s="3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5.75" customHeight="1">
      <c r="A940" s="1"/>
      <c r="B940" s="124"/>
      <c r="C940" s="1"/>
      <c r="D940" s="1"/>
      <c r="E940" s="3"/>
      <c r="F940" s="3"/>
      <c r="G940" s="57"/>
      <c r="H940" s="57"/>
      <c r="I940" s="3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5.75" customHeight="1">
      <c r="A941" s="1"/>
      <c r="B941" s="124"/>
      <c r="C941" s="1"/>
      <c r="D941" s="1"/>
      <c r="E941" s="3"/>
      <c r="F941" s="3"/>
      <c r="G941" s="57"/>
      <c r="H941" s="57"/>
      <c r="I941" s="3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5.75" customHeight="1">
      <c r="A942" s="1"/>
      <c r="B942" s="124"/>
      <c r="C942" s="1"/>
      <c r="D942" s="1"/>
      <c r="E942" s="3"/>
      <c r="F942" s="3"/>
      <c r="G942" s="57"/>
      <c r="H942" s="57"/>
      <c r="I942" s="3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5.75" customHeight="1">
      <c r="A943" s="1"/>
      <c r="B943" s="124"/>
      <c r="C943" s="1"/>
      <c r="D943" s="1"/>
      <c r="E943" s="3"/>
      <c r="F943" s="3"/>
      <c r="G943" s="57"/>
      <c r="H943" s="57"/>
      <c r="I943" s="3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5.75" customHeight="1">
      <c r="A944" s="1"/>
      <c r="B944" s="124"/>
      <c r="C944" s="1"/>
      <c r="D944" s="1"/>
      <c r="E944" s="3"/>
      <c r="F944" s="3"/>
      <c r="G944" s="57"/>
      <c r="H944" s="57"/>
      <c r="I944" s="3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5.75" customHeight="1">
      <c r="A945" s="1"/>
      <c r="B945" s="124"/>
      <c r="C945" s="1"/>
      <c r="D945" s="1"/>
      <c r="E945" s="3"/>
      <c r="F945" s="3"/>
      <c r="G945" s="57"/>
      <c r="H945" s="57"/>
      <c r="I945" s="3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5.75" customHeight="1">
      <c r="A946" s="1"/>
      <c r="B946" s="124"/>
      <c r="C946" s="1"/>
      <c r="D946" s="1"/>
      <c r="E946" s="3"/>
      <c r="F946" s="3"/>
      <c r="G946" s="57"/>
      <c r="H946" s="57"/>
      <c r="I946" s="3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5.75" customHeight="1">
      <c r="A947" s="1"/>
      <c r="B947" s="124"/>
      <c r="C947" s="1"/>
      <c r="D947" s="1"/>
      <c r="E947" s="3"/>
      <c r="F947" s="3"/>
      <c r="G947" s="57"/>
      <c r="H947" s="57"/>
      <c r="I947" s="3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5.75" customHeight="1">
      <c r="A948" s="1"/>
      <c r="B948" s="124"/>
      <c r="C948" s="1"/>
      <c r="D948" s="1"/>
      <c r="E948" s="3"/>
      <c r="F948" s="3"/>
      <c r="G948" s="57"/>
      <c r="H948" s="57"/>
      <c r="I948" s="3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5.75" customHeight="1">
      <c r="A949" s="1"/>
      <c r="B949" s="124"/>
      <c r="C949" s="1"/>
      <c r="D949" s="1"/>
      <c r="E949" s="3"/>
      <c r="F949" s="3"/>
      <c r="G949" s="57"/>
      <c r="H949" s="57"/>
      <c r="I949" s="3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5.75" customHeight="1">
      <c r="A950" s="1"/>
      <c r="B950" s="124"/>
      <c r="C950" s="1"/>
      <c r="D950" s="1"/>
      <c r="E950" s="3"/>
      <c r="F950" s="3"/>
      <c r="G950" s="57"/>
      <c r="H950" s="57"/>
      <c r="I950" s="3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5.75" customHeight="1">
      <c r="A951" s="1"/>
      <c r="B951" s="124"/>
      <c r="C951" s="1"/>
      <c r="D951" s="1"/>
      <c r="E951" s="3"/>
      <c r="F951" s="3"/>
      <c r="G951" s="57"/>
      <c r="H951" s="57"/>
      <c r="I951" s="3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5.75" customHeight="1">
      <c r="A952" s="1"/>
      <c r="B952" s="124"/>
      <c r="C952" s="1"/>
      <c r="D952" s="1"/>
      <c r="E952" s="3"/>
      <c r="F952" s="3"/>
      <c r="G952" s="57"/>
      <c r="H952" s="57"/>
      <c r="I952" s="3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5.75" customHeight="1">
      <c r="A953" s="1"/>
      <c r="B953" s="124"/>
      <c r="C953" s="1"/>
      <c r="D953" s="1"/>
      <c r="E953" s="3"/>
      <c r="F953" s="3"/>
      <c r="G953" s="57"/>
      <c r="H953" s="57"/>
      <c r="I953" s="3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5.75" customHeight="1">
      <c r="A954" s="1"/>
      <c r="B954" s="124"/>
      <c r="C954" s="1"/>
      <c r="D954" s="1"/>
      <c r="E954" s="3"/>
      <c r="F954" s="3"/>
      <c r="G954" s="57"/>
      <c r="H954" s="57"/>
      <c r="I954" s="3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5.75" customHeight="1">
      <c r="A955" s="1"/>
      <c r="B955" s="124"/>
      <c r="C955" s="1"/>
      <c r="D955" s="1"/>
      <c r="E955" s="3"/>
      <c r="F955" s="3"/>
      <c r="G955" s="57"/>
      <c r="H955" s="57"/>
      <c r="I955" s="3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5.75" customHeight="1">
      <c r="A956" s="1"/>
      <c r="B956" s="124"/>
      <c r="C956" s="1"/>
      <c r="D956" s="1"/>
      <c r="E956" s="3"/>
      <c r="F956" s="3"/>
      <c r="G956" s="57"/>
      <c r="H956" s="57"/>
      <c r="I956" s="3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5.75" customHeight="1">
      <c r="A957" s="1"/>
      <c r="B957" s="124"/>
      <c r="C957" s="1"/>
      <c r="D957" s="1"/>
      <c r="E957" s="3"/>
      <c r="F957" s="3"/>
      <c r="G957" s="57"/>
      <c r="H957" s="57"/>
      <c r="I957" s="3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5.75" customHeight="1">
      <c r="A958" s="1"/>
      <c r="B958" s="124"/>
      <c r="C958" s="1"/>
      <c r="D958" s="1"/>
      <c r="E958" s="3"/>
      <c r="F958" s="3"/>
      <c r="G958" s="57"/>
      <c r="H958" s="57"/>
      <c r="I958" s="3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5.75" customHeight="1">
      <c r="A959" s="1"/>
      <c r="B959" s="124"/>
      <c r="C959" s="1"/>
      <c r="D959" s="1"/>
      <c r="E959" s="3"/>
      <c r="F959" s="3"/>
      <c r="G959" s="57"/>
      <c r="H959" s="57"/>
      <c r="I959" s="3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5.75" customHeight="1">
      <c r="A960" s="1"/>
      <c r="B960" s="124"/>
      <c r="C960" s="1"/>
      <c r="D960" s="1"/>
      <c r="E960" s="3"/>
      <c r="F960" s="3"/>
      <c r="G960" s="57"/>
      <c r="H960" s="57"/>
      <c r="I960" s="3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5.75" customHeight="1">
      <c r="A961" s="1"/>
      <c r="B961" s="124"/>
      <c r="C961" s="1"/>
      <c r="D961" s="1"/>
      <c r="E961" s="3"/>
      <c r="F961" s="3"/>
      <c r="G961" s="57"/>
      <c r="H961" s="57"/>
      <c r="I961" s="3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5.75" customHeight="1">
      <c r="A962" s="1"/>
      <c r="B962" s="124"/>
      <c r="C962" s="1"/>
      <c r="D962" s="1"/>
      <c r="E962" s="3"/>
      <c r="F962" s="3"/>
      <c r="G962" s="57"/>
      <c r="H962" s="57"/>
      <c r="I962" s="3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5.75" customHeight="1">
      <c r="A963" s="1"/>
      <c r="B963" s="124"/>
      <c r="C963" s="1"/>
      <c r="D963" s="1"/>
      <c r="E963" s="3"/>
      <c r="F963" s="3"/>
      <c r="G963" s="57"/>
      <c r="H963" s="57"/>
      <c r="I963" s="3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5.75" customHeight="1">
      <c r="A964" s="1"/>
      <c r="B964" s="124"/>
      <c r="C964" s="1"/>
      <c r="D964" s="1"/>
      <c r="E964" s="3"/>
      <c r="F964" s="3"/>
      <c r="G964" s="57"/>
      <c r="H964" s="57"/>
      <c r="I964" s="3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5.75" customHeight="1">
      <c r="A965" s="1"/>
      <c r="B965" s="124"/>
      <c r="C965" s="1"/>
      <c r="D965" s="1"/>
      <c r="E965" s="3"/>
      <c r="F965" s="3"/>
      <c r="G965" s="57"/>
      <c r="H965" s="57"/>
      <c r="I965" s="3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5.75" customHeight="1">
      <c r="A966" s="1"/>
      <c r="B966" s="124"/>
      <c r="C966" s="1"/>
      <c r="D966" s="1"/>
      <c r="E966" s="3"/>
      <c r="F966" s="3"/>
      <c r="G966" s="57"/>
      <c r="H966" s="57"/>
      <c r="I966" s="3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5.75" customHeight="1">
      <c r="A967" s="1"/>
      <c r="B967" s="124"/>
      <c r="C967" s="1"/>
      <c r="D967" s="1"/>
      <c r="E967" s="3"/>
      <c r="F967" s="3"/>
      <c r="G967" s="57"/>
      <c r="H967" s="57"/>
      <c r="I967" s="3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5.75" customHeight="1">
      <c r="A968" s="1"/>
      <c r="B968" s="124"/>
      <c r="C968" s="1"/>
      <c r="D968" s="1"/>
      <c r="E968" s="3"/>
      <c r="F968" s="3"/>
      <c r="G968" s="57"/>
      <c r="H968" s="57"/>
      <c r="I968" s="3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5.75" customHeight="1">
      <c r="A969" s="1"/>
      <c r="B969" s="124"/>
      <c r="C969" s="1"/>
      <c r="D969" s="1"/>
      <c r="E969" s="3"/>
      <c r="F969" s="3"/>
      <c r="G969" s="57"/>
      <c r="H969" s="57"/>
      <c r="I969" s="3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5.75" customHeight="1">
      <c r="A970" s="1"/>
      <c r="B970" s="124"/>
      <c r="C970" s="1"/>
      <c r="D970" s="1"/>
      <c r="E970" s="3"/>
      <c r="F970" s="3"/>
      <c r="G970" s="57"/>
      <c r="H970" s="57"/>
      <c r="I970" s="3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5.75" customHeight="1">
      <c r="A971" s="1"/>
      <c r="B971" s="124"/>
      <c r="C971" s="1"/>
      <c r="D971" s="1"/>
      <c r="E971" s="3"/>
      <c r="F971" s="3"/>
      <c r="G971" s="57"/>
      <c r="H971" s="57"/>
      <c r="I971" s="3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5.75" customHeight="1">
      <c r="A972" s="1"/>
      <c r="B972" s="124"/>
      <c r="C972" s="1"/>
      <c r="D972" s="1"/>
      <c r="E972" s="3"/>
      <c r="F972" s="3"/>
      <c r="G972" s="57"/>
      <c r="H972" s="57"/>
      <c r="I972" s="3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5.75" customHeight="1">
      <c r="A973" s="1"/>
      <c r="B973" s="124"/>
      <c r="C973" s="1"/>
      <c r="D973" s="1"/>
      <c r="E973" s="3"/>
      <c r="F973" s="3"/>
      <c r="G973" s="57"/>
      <c r="H973" s="57"/>
      <c r="I973" s="3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5.75" customHeight="1">
      <c r="A974" s="1"/>
      <c r="B974" s="124"/>
      <c r="C974" s="1"/>
      <c r="D974" s="1"/>
      <c r="E974" s="3"/>
      <c r="F974" s="3"/>
      <c r="G974" s="57"/>
      <c r="H974" s="57"/>
      <c r="I974" s="3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5.75" customHeight="1">
      <c r="A975" s="1"/>
      <c r="B975" s="124"/>
      <c r="C975" s="1"/>
      <c r="D975" s="1"/>
      <c r="E975" s="3"/>
      <c r="F975" s="3"/>
      <c r="G975" s="57"/>
      <c r="H975" s="57"/>
      <c r="I975" s="3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5.75" customHeight="1">
      <c r="A976" s="1"/>
      <c r="B976" s="124"/>
      <c r="C976" s="1"/>
      <c r="D976" s="1"/>
      <c r="E976" s="3"/>
      <c r="F976" s="3"/>
      <c r="G976" s="57"/>
      <c r="H976" s="57"/>
      <c r="I976" s="3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5.75" customHeight="1">
      <c r="A977" s="1"/>
      <c r="B977" s="124"/>
      <c r="C977" s="1"/>
      <c r="D977" s="1"/>
      <c r="E977" s="3"/>
      <c r="F977" s="3"/>
      <c r="G977" s="57"/>
      <c r="H977" s="57"/>
      <c r="I977" s="3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5.75" customHeight="1">
      <c r="A978" s="1"/>
      <c r="B978" s="124"/>
      <c r="C978" s="1"/>
      <c r="D978" s="1"/>
      <c r="E978" s="3"/>
      <c r="F978" s="3"/>
      <c r="G978" s="57"/>
      <c r="H978" s="57"/>
      <c r="I978" s="3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5.75" customHeight="1">
      <c r="A979" s="1"/>
      <c r="B979" s="124"/>
      <c r="C979" s="1"/>
      <c r="D979" s="1"/>
      <c r="E979" s="3"/>
      <c r="F979" s="3"/>
      <c r="G979" s="57"/>
      <c r="H979" s="57"/>
      <c r="I979" s="3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5.75" customHeight="1">
      <c r="A980" s="1"/>
      <c r="B980" s="124"/>
      <c r="C980" s="1"/>
      <c r="D980" s="1"/>
      <c r="E980" s="3"/>
      <c r="F980" s="3"/>
      <c r="G980" s="57"/>
      <c r="H980" s="57"/>
      <c r="I980" s="3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5.75" customHeight="1">
      <c r="A981" s="1"/>
      <c r="B981" s="124"/>
      <c r="C981" s="1"/>
      <c r="D981" s="1"/>
      <c r="E981" s="3"/>
      <c r="F981" s="3"/>
      <c r="G981" s="57"/>
      <c r="H981" s="57"/>
      <c r="I981" s="3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5.75" customHeight="1">
      <c r="A982" s="1"/>
      <c r="B982" s="124"/>
      <c r="C982" s="1"/>
      <c r="D982" s="1"/>
      <c r="E982" s="3"/>
      <c r="F982" s="3"/>
      <c r="G982" s="57"/>
      <c r="H982" s="57"/>
      <c r="I982" s="3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5.75" customHeight="1">
      <c r="A983" s="1"/>
      <c r="B983" s="124"/>
      <c r="C983" s="1"/>
      <c r="D983" s="1"/>
      <c r="E983" s="3"/>
      <c r="F983" s="3"/>
      <c r="G983" s="57"/>
      <c r="H983" s="57"/>
      <c r="I983" s="3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5.75" customHeight="1">
      <c r="A984" s="1"/>
      <c r="B984" s="124"/>
      <c r="C984" s="1"/>
      <c r="D984" s="1"/>
      <c r="E984" s="3"/>
      <c r="F984" s="3"/>
      <c r="G984" s="57"/>
      <c r="H984" s="57"/>
      <c r="I984" s="3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5.75" customHeight="1">
      <c r="A985" s="1"/>
      <c r="B985" s="124"/>
      <c r="C985" s="1"/>
      <c r="D985" s="1"/>
      <c r="E985" s="3"/>
      <c r="F985" s="3"/>
      <c r="G985" s="57"/>
      <c r="H985" s="57"/>
      <c r="I985" s="3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5.75" customHeight="1">
      <c r="A986" s="1"/>
      <c r="B986" s="124"/>
      <c r="C986" s="1"/>
      <c r="D986" s="1"/>
      <c r="E986" s="3"/>
      <c r="F986" s="3"/>
      <c r="G986" s="57"/>
      <c r="H986" s="57"/>
      <c r="I986" s="3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5.75" customHeight="1">
      <c r="A987" s="1"/>
      <c r="B987" s="124"/>
      <c r="C987" s="1"/>
      <c r="D987" s="1"/>
      <c r="E987" s="3"/>
      <c r="F987" s="3"/>
      <c r="G987" s="57"/>
      <c r="H987" s="57"/>
      <c r="I987" s="3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5.75" customHeight="1">
      <c r="A988" s="1"/>
      <c r="B988" s="124"/>
      <c r="C988" s="1"/>
      <c r="D988" s="1"/>
      <c r="E988" s="3"/>
      <c r="F988" s="3"/>
      <c r="G988" s="57"/>
      <c r="H988" s="57"/>
      <c r="I988" s="3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5.75" customHeight="1">
      <c r="A989" s="1"/>
      <c r="B989" s="124"/>
      <c r="C989" s="1"/>
      <c r="D989" s="1"/>
      <c r="E989" s="3"/>
      <c r="F989" s="3"/>
      <c r="G989" s="57"/>
      <c r="H989" s="57"/>
      <c r="I989" s="3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5.75" customHeight="1">
      <c r="A990" s="1"/>
      <c r="B990" s="124"/>
      <c r="C990" s="1"/>
      <c r="D990" s="1"/>
      <c r="E990" s="3"/>
      <c r="F990" s="3"/>
      <c r="G990" s="57"/>
      <c r="H990" s="57"/>
      <c r="I990" s="3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5.75" customHeight="1">
      <c r="A991" s="1"/>
      <c r="B991" s="124"/>
      <c r="C991" s="1"/>
      <c r="D991" s="1"/>
      <c r="E991" s="3"/>
      <c r="F991" s="3"/>
      <c r="G991" s="57"/>
      <c r="H991" s="57"/>
      <c r="I991" s="3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5.75" customHeight="1">
      <c r="A992" s="1"/>
      <c r="B992" s="124"/>
      <c r="C992" s="1"/>
      <c r="D992" s="1"/>
      <c r="E992" s="3"/>
      <c r="F992" s="3"/>
      <c r="G992" s="57"/>
      <c r="H992" s="57"/>
      <c r="I992" s="3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5.75" customHeight="1">
      <c r="A993" s="1"/>
      <c r="B993" s="124"/>
      <c r="C993" s="1"/>
      <c r="D993" s="1"/>
      <c r="E993" s="3"/>
      <c r="F993" s="3"/>
      <c r="G993" s="57"/>
      <c r="H993" s="57"/>
      <c r="I993" s="3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5.75" customHeight="1">
      <c r="A994" s="1"/>
      <c r="B994" s="124"/>
      <c r="C994" s="1"/>
      <c r="D994" s="1"/>
      <c r="E994" s="3"/>
      <c r="F994" s="3"/>
      <c r="G994" s="57"/>
      <c r="H994" s="57"/>
      <c r="I994" s="3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5.75" customHeight="1">
      <c r="A995" s="1"/>
      <c r="B995" s="124"/>
      <c r="C995" s="1"/>
      <c r="D995" s="1"/>
      <c r="E995" s="3"/>
      <c r="F995" s="3"/>
      <c r="G995" s="57"/>
      <c r="H995" s="57"/>
      <c r="I995" s="3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5.75" customHeight="1">
      <c r="A996" s="1"/>
      <c r="B996" s="124"/>
      <c r="C996" s="1"/>
      <c r="D996" s="1"/>
      <c r="E996" s="3"/>
      <c r="F996" s="3"/>
      <c r="G996" s="57"/>
      <c r="H996" s="57"/>
      <c r="I996" s="3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5.75" customHeight="1">
      <c r="A997" s="1"/>
      <c r="B997" s="124"/>
      <c r="C997" s="1"/>
      <c r="D997" s="1"/>
      <c r="E997" s="3"/>
      <c r="F997" s="3"/>
      <c r="G997" s="57"/>
      <c r="H997" s="57"/>
      <c r="I997" s="3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5.75" customHeight="1">
      <c r="A998" s="1"/>
      <c r="B998" s="124"/>
      <c r="C998" s="1"/>
      <c r="D998" s="1"/>
      <c r="E998" s="3"/>
      <c r="F998" s="3"/>
      <c r="G998" s="57"/>
      <c r="H998" s="57"/>
      <c r="I998" s="3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5.75" customHeight="1">
      <c r="A999" s="1"/>
      <c r="B999" s="124"/>
      <c r="C999" s="1"/>
      <c r="D999" s="1"/>
      <c r="E999" s="3"/>
      <c r="F999" s="3"/>
      <c r="G999" s="57"/>
      <c r="H999" s="57"/>
      <c r="I999" s="3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5.75" customHeight="1">
      <c r="A1000" s="1"/>
      <c r="B1000" s="124"/>
      <c r="C1000" s="1"/>
      <c r="D1000" s="1"/>
      <c r="E1000" s="3"/>
      <c r="F1000" s="3"/>
      <c r="G1000" s="57"/>
      <c r="H1000" s="57"/>
      <c r="I1000" s="3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</sheetData>
  <conditionalFormatting sqref="A1:K25">
    <cfRule type="cellIs" dxfId="0" priority="1" operator="equal">
      <formula>""</formula>
    </cfRule>
  </conditionalFormatting>
  <pageMargins left="0.25" right="0.25" top="0.75" bottom="0.75" header="0" footer="0"/>
  <pageSetup paperSize="9" scale="5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00"/>
  <sheetViews>
    <sheetView workbookViewId="0">
      <pane xSplit="1" ySplit="6" topLeftCell="B7" activePane="bottomRight" state="frozen"/>
      <selection pane="bottomRight" activeCell="B7" sqref="B7"/>
      <selection pane="bottomLeft" activeCell="A7" sqref="A7"/>
      <selection pane="topRight" activeCell="B1" sqref="B1"/>
    </sheetView>
  </sheetViews>
  <sheetFormatPr defaultColWidth="14.42578125" defaultRowHeight="15" customHeight="1"/>
  <cols>
    <col min="1" max="1" width="16.28515625" customWidth="1"/>
    <col min="2" max="2" width="27.7109375" customWidth="1"/>
    <col min="3" max="7" width="20.7109375" customWidth="1"/>
    <col min="8" max="8" width="22.85546875" customWidth="1"/>
    <col min="9" max="9" width="23.28515625" customWidth="1"/>
    <col min="10" max="21" width="20.7109375" customWidth="1"/>
    <col min="22" max="22" width="24.42578125" customWidth="1"/>
    <col min="23" max="23" width="18.42578125" customWidth="1"/>
    <col min="24" max="24" width="20.7109375" customWidth="1"/>
    <col min="25" max="25" width="23" customWidth="1"/>
    <col min="26" max="26" width="23.140625" customWidth="1"/>
    <col min="27" max="34" width="20.7109375" customWidth="1"/>
    <col min="35" max="35" width="24.28515625" customWidth="1"/>
  </cols>
  <sheetData>
    <row r="1" spans="1:35">
      <c r="A1" s="288" t="s">
        <v>228</v>
      </c>
      <c r="B1" s="134">
        <v>1</v>
      </c>
      <c r="C1" s="289">
        <v>2</v>
      </c>
      <c r="D1" s="289">
        <v>3</v>
      </c>
      <c r="E1" s="289">
        <v>4</v>
      </c>
      <c r="F1" s="289">
        <v>5</v>
      </c>
      <c r="G1" s="289">
        <v>6</v>
      </c>
      <c r="H1" s="289">
        <v>7</v>
      </c>
      <c r="I1" s="289">
        <v>8</v>
      </c>
      <c r="J1" s="289">
        <v>9</v>
      </c>
      <c r="K1" s="135">
        <v>10</v>
      </c>
      <c r="L1" s="136">
        <v>11</v>
      </c>
      <c r="M1" s="289">
        <v>12</v>
      </c>
      <c r="N1" s="289">
        <v>13</v>
      </c>
      <c r="O1" s="289">
        <v>14</v>
      </c>
      <c r="P1" s="289">
        <v>15</v>
      </c>
      <c r="Q1" s="289">
        <v>16</v>
      </c>
      <c r="R1" s="289">
        <v>17</v>
      </c>
      <c r="S1" s="289">
        <v>18</v>
      </c>
      <c r="T1" s="289">
        <v>19</v>
      </c>
      <c r="U1" s="289">
        <v>20</v>
      </c>
      <c r="V1" s="289">
        <v>21</v>
      </c>
      <c r="W1" s="289">
        <v>22</v>
      </c>
      <c r="X1" s="289">
        <v>23</v>
      </c>
      <c r="Y1" s="289">
        <v>24</v>
      </c>
      <c r="Z1" s="289">
        <v>25</v>
      </c>
      <c r="AA1" s="289">
        <v>26</v>
      </c>
      <c r="AB1" s="289">
        <v>27</v>
      </c>
      <c r="AC1" s="289">
        <v>28</v>
      </c>
      <c r="AD1" s="289">
        <v>29</v>
      </c>
      <c r="AE1" s="289">
        <v>30</v>
      </c>
      <c r="AF1" s="289">
        <v>31</v>
      </c>
      <c r="AG1" s="289">
        <v>32</v>
      </c>
      <c r="AH1" s="289">
        <v>36</v>
      </c>
      <c r="AI1" s="289">
        <v>37</v>
      </c>
    </row>
    <row r="2" spans="1:35" ht="60">
      <c r="A2" s="137" t="s">
        <v>125</v>
      </c>
      <c r="B2" s="138" t="s">
        <v>229</v>
      </c>
      <c r="C2" s="290" t="s">
        <v>230</v>
      </c>
      <c r="D2" s="290" t="s">
        <v>231</v>
      </c>
      <c r="E2" s="290" t="s">
        <v>232</v>
      </c>
      <c r="F2" s="290" t="s">
        <v>233</v>
      </c>
      <c r="G2" s="290" t="s">
        <v>234</v>
      </c>
      <c r="H2" s="290" t="s">
        <v>235</v>
      </c>
      <c r="I2" s="290" t="s">
        <v>236</v>
      </c>
      <c r="J2" s="290" t="s">
        <v>237</v>
      </c>
      <c r="K2" s="291" t="s">
        <v>238</v>
      </c>
      <c r="L2" s="292" t="s">
        <v>239</v>
      </c>
      <c r="M2" s="293" t="s">
        <v>240</v>
      </c>
      <c r="N2" s="293" t="s">
        <v>241</v>
      </c>
      <c r="O2" s="293" t="s">
        <v>242</v>
      </c>
      <c r="P2" s="290" t="s">
        <v>243</v>
      </c>
      <c r="Q2" s="290" t="s">
        <v>244</v>
      </c>
      <c r="R2" s="290" t="s">
        <v>245</v>
      </c>
      <c r="S2" s="290" t="s">
        <v>246</v>
      </c>
      <c r="T2" s="290" t="s">
        <v>247</v>
      </c>
      <c r="U2" s="290" t="s">
        <v>248</v>
      </c>
      <c r="V2" s="290" t="s">
        <v>249</v>
      </c>
      <c r="W2" s="290" t="s">
        <v>250</v>
      </c>
      <c r="X2" s="139" t="s">
        <v>251</v>
      </c>
      <c r="Y2" s="290" t="s">
        <v>252</v>
      </c>
      <c r="Z2" s="290" t="s">
        <v>253</v>
      </c>
      <c r="AA2" s="290" t="s">
        <v>254</v>
      </c>
      <c r="AB2" s="290" t="s">
        <v>255</v>
      </c>
      <c r="AC2" s="290" t="s">
        <v>256</v>
      </c>
      <c r="AD2" s="290" t="s">
        <v>257</v>
      </c>
      <c r="AE2" s="290" t="s">
        <v>258</v>
      </c>
      <c r="AF2" s="290" t="s">
        <v>259</v>
      </c>
      <c r="AG2" s="290" t="s">
        <v>260</v>
      </c>
      <c r="AH2" s="290" t="s">
        <v>261</v>
      </c>
      <c r="AI2" s="290" t="s">
        <v>262</v>
      </c>
    </row>
    <row r="3" spans="1:35">
      <c r="A3" s="137" t="s">
        <v>127</v>
      </c>
      <c r="B3" s="140"/>
      <c r="C3" s="140" t="s">
        <v>263</v>
      </c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</row>
    <row r="4" spans="1:35">
      <c r="A4" s="137" t="s">
        <v>128</v>
      </c>
      <c r="B4" s="140" t="s">
        <v>264</v>
      </c>
      <c r="C4" s="141" t="s">
        <v>265</v>
      </c>
      <c r="D4" s="141" t="s">
        <v>266</v>
      </c>
      <c r="E4" s="141" t="s">
        <v>267</v>
      </c>
      <c r="F4" s="141" t="s">
        <v>268</v>
      </c>
      <c r="G4" s="141" t="s">
        <v>269</v>
      </c>
      <c r="H4" s="141" t="s">
        <v>270</v>
      </c>
      <c r="I4" s="141" t="s">
        <v>271</v>
      </c>
      <c r="J4" s="141" t="s">
        <v>272</v>
      </c>
      <c r="K4" s="142" t="s">
        <v>273</v>
      </c>
      <c r="L4" s="143" t="s">
        <v>274</v>
      </c>
      <c r="M4" s="144" t="s">
        <v>275</v>
      </c>
      <c r="N4" s="144" t="s">
        <v>276</v>
      </c>
      <c r="O4" s="144" t="s">
        <v>277</v>
      </c>
      <c r="P4" s="141" t="s">
        <v>278</v>
      </c>
      <c r="Q4" s="141" t="s">
        <v>279</v>
      </c>
      <c r="R4" s="141" t="s">
        <v>280</v>
      </c>
      <c r="S4" s="141" t="s">
        <v>281</v>
      </c>
      <c r="T4" s="144" t="s">
        <v>282</v>
      </c>
      <c r="U4" s="141" t="s">
        <v>283</v>
      </c>
      <c r="V4" s="141" t="s">
        <v>284</v>
      </c>
      <c r="W4" s="141" t="s">
        <v>285</v>
      </c>
      <c r="X4" s="141" t="s">
        <v>286</v>
      </c>
      <c r="Y4" s="141" t="s">
        <v>287</v>
      </c>
      <c r="Z4" s="141" t="s">
        <v>288</v>
      </c>
      <c r="AA4" s="141" t="s">
        <v>289</v>
      </c>
      <c r="AB4" s="141" t="s">
        <v>290</v>
      </c>
      <c r="AC4" s="141" t="s">
        <v>291</v>
      </c>
      <c r="AD4" s="141" t="s">
        <v>292</v>
      </c>
      <c r="AE4" s="141" t="s">
        <v>293</v>
      </c>
      <c r="AF4" s="141" t="s">
        <v>294</v>
      </c>
      <c r="AG4" s="141" t="s">
        <v>295</v>
      </c>
      <c r="AH4" s="141" t="s">
        <v>296</v>
      </c>
      <c r="AI4" s="141" t="s">
        <v>297</v>
      </c>
    </row>
    <row r="5" spans="1:35">
      <c r="A5" s="137" t="s">
        <v>298</v>
      </c>
      <c r="B5" s="140">
        <v>16495</v>
      </c>
      <c r="C5" s="141">
        <v>15506</v>
      </c>
      <c r="D5" s="141">
        <v>5876</v>
      </c>
      <c r="E5" s="141">
        <v>11582</v>
      </c>
      <c r="F5" s="141">
        <v>14921</v>
      </c>
      <c r="G5" s="141">
        <v>12973</v>
      </c>
      <c r="H5" s="141"/>
      <c r="I5" s="141">
        <v>14498</v>
      </c>
      <c r="J5" s="141">
        <v>12544</v>
      </c>
      <c r="K5" s="142">
        <v>15012</v>
      </c>
      <c r="L5" s="143">
        <v>14678</v>
      </c>
      <c r="M5" s="144">
        <v>15505</v>
      </c>
      <c r="N5" s="144">
        <v>478</v>
      </c>
      <c r="O5" s="144">
        <v>13744</v>
      </c>
      <c r="P5" s="141">
        <v>11976</v>
      </c>
      <c r="Q5" s="141">
        <v>13030</v>
      </c>
      <c r="R5" s="141">
        <v>11316</v>
      </c>
      <c r="S5" s="141">
        <v>3147</v>
      </c>
      <c r="T5" s="144">
        <v>14243</v>
      </c>
      <c r="U5" s="141">
        <v>13744</v>
      </c>
      <c r="V5" s="141">
        <v>11823</v>
      </c>
      <c r="W5" s="141">
        <v>5876</v>
      </c>
      <c r="X5" s="141">
        <v>13368</v>
      </c>
      <c r="Y5" s="141">
        <v>15566</v>
      </c>
      <c r="Z5" s="141">
        <v>15506</v>
      </c>
      <c r="AA5" s="141">
        <v>15772</v>
      </c>
      <c r="AB5" s="141">
        <v>15772</v>
      </c>
      <c r="AC5" s="141">
        <v>15504</v>
      </c>
      <c r="AD5" s="141">
        <v>15563</v>
      </c>
      <c r="AE5" s="141">
        <v>10893</v>
      </c>
      <c r="AF5" s="141">
        <v>10893</v>
      </c>
      <c r="AG5" s="141">
        <v>13963</v>
      </c>
      <c r="AH5" s="141">
        <v>13744</v>
      </c>
      <c r="AI5" s="145">
        <v>11823</v>
      </c>
    </row>
    <row r="6" spans="1:35">
      <c r="A6" s="137" t="s">
        <v>299</v>
      </c>
      <c r="B6" s="140" t="s">
        <v>300</v>
      </c>
      <c r="C6" s="141" t="s">
        <v>301</v>
      </c>
      <c r="D6" s="141" t="s">
        <v>302</v>
      </c>
      <c r="E6" s="141" t="s">
        <v>303</v>
      </c>
      <c r="F6" s="141" t="s">
        <v>304</v>
      </c>
      <c r="G6" s="141" t="s">
        <v>305</v>
      </c>
      <c r="H6" s="141" t="s">
        <v>306</v>
      </c>
      <c r="I6" s="141" t="s">
        <v>307</v>
      </c>
      <c r="J6" s="141" t="s">
        <v>308</v>
      </c>
      <c r="K6" s="142" t="s">
        <v>309</v>
      </c>
      <c r="L6" s="143" t="s">
        <v>310</v>
      </c>
      <c r="M6" s="144" t="s">
        <v>311</v>
      </c>
      <c r="N6" s="144" t="s">
        <v>312</v>
      </c>
      <c r="O6" s="144" t="s">
        <v>313</v>
      </c>
      <c r="P6" s="141" t="s">
        <v>314</v>
      </c>
      <c r="Q6" s="141" t="s">
        <v>315</v>
      </c>
      <c r="R6" s="141" t="s">
        <v>316</v>
      </c>
      <c r="S6" s="141" t="s">
        <v>317</v>
      </c>
      <c r="T6" s="144" t="s">
        <v>318</v>
      </c>
      <c r="U6" s="141" t="s">
        <v>313</v>
      </c>
      <c r="V6" s="141" t="s">
        <v>319</v>
      </c>
      <c r="W6" s="141" t="s">
        <v>302</v>
      </c>
      <c r="X6" s="141" t="s">
        <v>320</v>
      </c>
      <c r="Y6" s="141" t="s">
        <v>321</v>
      </c>
      <c r="Z6" s="141" t="s">
        <v>301</v>
      </c>
      <c r="AA6" s="141" t="s">
        <v>322</v>
      </c>
      <c r="AB6" s="141" t="s">
        <v>322</v>
      </c>
      <c r="AC6" s="141" t="s">
        <v>323</v>
      </c>
      <c r="AD6" s="141" t="s">
        <v>324</v>
      </c>
      <c r="AE6" s="141" t="s">
        <v>325</v>
      </c>
      <c r="AF6" s="141" t="s">
        <v>325</v>
      </c>
      <c r="AG6" s="141" t="s">
        <v>326</v>
      </c>
      <c r="AH6" s="141" t="s">
        <v>313</v>
      </c>
      <c r="AI6" s="145" t="s">
        <v>319</v>
      </c>
    </row>
    <row r="7" spans="1:35">
      <c r="A7" s="137" t="s">
        <v>133</v>
      </c>
      <c r="B7" s="146">
        <v>43474</v>
      </c>
      <c r="C7" s="147">
        <v>43487</v>
      </c>
      <c r="D7" s="147">
        <v>43521</v>
      </c>
      <c r="E7" s="147">
        <v>43544</v>
      </c>
      <c r="F7" s="147">
        <v>43472</v>
      </c>
      <c r="G7" s="147">
        <v>43405</v>
      </c>
      <c r="H7" s="147">
        <v>43558</v>
      </c>
      <c r="I7" s="147">
        <v>43363</v>
      </c>
      <c r="J7" s="147">
        <v>43496</v>
      </c>
      <c r="K7" s="148">
        <v>43564</v>
      </c>
      <c r="L7" s="149">
        <v>43647</v>
      </c>
      <c r="M7" s="150">
        <v>43556</v>
      </c>
      <c r="N7" s="150"/>
      <c r="O7" s="150">
        <v>43493</v>
      </c>
      <c r="P7" s="147">
        <v>42857</v>
      </c>
      <c r="Q7" s="147">
        <v>43222</v>
      </c>
      <c r="R7" s="147">
        <v>43651</v>
      </c>
      <c r="S7" s="147">
        <v>43399</v>
      </c>
      <c r="T7" s="150"/>
      <c r="U7" s="147">
        <v>43405</v>
      </c>
      <c r="V7" s="147"/>
      <c r="W7" s="147"/>
      <c r="X7" s="147">
        <v>44109</v>
      </c>
      <c r="Y7" s="147">
        <v>43585</v>
      </c>
      <c r="Z7" s="147">
        <v>43553</v>
      </c>
      <c r="AA7" s="147">
        <v>43591</v>
      </c>
      <c r="AB7" s="147">
        <v>43640</v>
      </c>
      <c r="AC7" s="147">
        <v>43504</v>
      </c>
      <c r="AD7" s="147">
        <v>43542</v>
      </c>
      <c r="AE7" s="147"/>
      <c r="AF7" s="147"/>
      <c r="AG7" s="147">
        <v>42786</v>
      </c>
      <c r="AH7" s="147"/>
      <c r="AI7" s="147"/>
    </row>
    <row r="8" spans="1:35">
      <c r="A8" s="137" t="s">
        <v>134</v>
      </c>
      <c r="B8" s="146">
        <v>43594</v>
      </c>
      <c r="C8" s="147">
        <v>43561</v>
      </c>
      <c r="D8" s="147">
        <v>43581</v>
      </c>
      <c r="E8" s="147">
        <v>43589</v>
      </c>
      <c r="F8" s="147">
        <v>43530</v>
      </c>
      <c r="G8" s="147">
        <v>43646</v>
      </c>
      <c r="H8" s="147">
        <v>43618</v>
      </c>
      <c r="I8" s="147">
        <v>43633</v>
      </c>
      <c r="J8" s="147">
        <v>43646</v>
      </c>
      <c r="K8" s="148">
        <v>43744</v>
      </c>
      <c r="L8" s="149">
        <v>43827</v>
      </c>
      <c r="M8" s="150">
        <v>43826</v>
      </c>
      <c r="N8" s="150"/>
      <c r="O8" s="150">
        <f>+O7+120</f>
        <v>43613</v>
      </c>
      <c r="P8" s="147">
        <v>43096</v>
      </c>
      <c r="Q8" s="147">
        <v>43618</v>
      </c>
      <c r="R8" s="147">
        <v>43741</v>
      </c>
      <c r="S8" s="147"/>
      <c r="T8" s="150"/>
      <c r="U8" s="147">
        <v>43560</v>
      </c>
      <c r="V8" s="147"/>
      <c r="W8" s="147"/>
      <c r="X8" s="147">
        <v>44229</v>
      </c>
      <c r="Y8" s="147">
        <v>43644</v>
      </c>
      <c r="Z8" s="147">
        <f>+Z7+60</f>
        <v>43613</v>
      </c>
      <c r="AA8" s="147">
        <f>+AA7+50</f>
        <v>43641</v>
      </c>
      <c r="AB8" s="147">
        <v>43715</v>
      </c>
      <c r="AC8" s="147">
        <f>+AC7+89</f>
        <v>43593</v>
      </c>
      <c r="AD8" s="147">
        <f>+AD7+60</f>
        <v>43602</v>
      </c>
      <c r="AE8" s="147"/>
      <c r="AF8" s="147"/>
      <c r="AG8" s="147">
        <f>+AG7+60</f>
        <v>42846</v>
      </c>
      <c r="AH8" s="147"/>
      <c r="AI8" s="147"/>
    </row>
    <row r="9" spans="1:35">
      <c r="A9" s="137" t="s">
        <v>327</v>
      </c>
      <c r="B9" s="140">
        <f t="shared" ref="B9:E9" si="0">(B8-B7)</f>
        <v>120</v>
      </c>
      <c r="C9" s="140">
        <f t="shared" si="0"/>
        <v>74</v>
      </c>
      <c r="D9" s="140">
        <f t="shared" si="0"/>
        <v>60</v>
      </c>
      <c r="E9" s="140">
        <f t="shared" si="0"/>
        <v>45</v>
      </c>
      <c r="F9" s="140">
        <v>60</v>
      </c>
      <c r="G9" s="140">
        <v>240</v>
      </c>
      <c r="H9" s="140">
        <f t="shared" ref="H9:R9" si="1">(H8-H7)</f>
        <v>60</v>
      </c>
      <c r="I9" s="140">
        <f t="shared" si="1"/>
        <v>270</v>
      </c>
      <c r="J9" s="140">
        <f t="shared" si="1"/>
        <v>150</v>
      </c>
      <c r="K9" s="140">
        <f t="shared" si="1"/>
        <v>180</v>
      </c>
      <c r="L9" s="140">
        <f t="shared" si="1"/>
        <v>180</v>
      </c>
      <c r="M9" s="140">
        <f t="shared" si="1"/>
        <v>270</v>
      </c>
      <c r="N9" s="140">
        <f t="shared" si="1"/>
        <v>0</v>
      </c>
      <c r="O9" s="140">
        <f t="shared" si="1"/>
        <v>120</v>
      </c>
      <c r="P9" s="140">
        <f t="shared" si="1"/>
        <v>239</v>
      </c>
      <c r="Q9" s="140">
        <f t="shared" si="1"/>
        <v>396</v>
      </c>
      <c r="R9" s="140">
        <f t="shared" si="1"/>
        <v>90</v>
      </c>
      <c r="S9" s="140"/>
      <c r="T9" s="140">
        <f t="shared" ref="T9:X9" si="2">(T8-T7)</f>
        <v>0</v>
      </c>
      <c r="U9" s="140">
        <f t="shared" si="2"/>
        <v>155</v>
      </c>
      <c r="V9" s="140">
        <f t="shared" si="2"/>
        <v>0</v>
      </c>
      <c r="W9" s="140">
        <f t="shared" si="2"/>
        <v>0</v>
      </c>
      <c r="X9" s="140">
        <f t="shared" si="2"/>
        <v>120</v>
      </c>
      <c r="Y9" s="140">
        <v>60</v>
      </c>
      <c r="Z9" s="140">
        <f t="shared" ref="Z9:AB9" si="3">(Z8-Z7)</f>
        <v>60</v>
      </c>
      <c r="AA9" s="140">
        <f t="shared" si="3"/>
        <v>50</v>
      </c>
      <c r="AB9" s="140">
        <f t="shared" si="3"/>
        <v>75</v>
      </c>
      <c r="AC9" s="140">
        <v>90</v>
      </c>
      <c r="AD9" s="140">
        <f t="shared" ref="AD9:AF9" si="4">(AD8-AD7)</f>
        <v>60</v>
      </c>
      <c r="AE9" s="140">
        <f t="shared" si="4"/>
        <v>0</v>
      </c>
      <c r="AF9" s="140">
        <f t="shared" si="4"/>
        <v>0</v>
      </c>
      <c r="AG9" s="140">
        <v>60</v>
      </c>
      <c r="AH9" s="147"/>
      <c r="AI9" s="147"/>
    </row>
    <row r="10" spans="1:35">
      <c r="A10" s="137" t="s">
        <v>328</v>
      </c>
      <c r="B10" s="140">
        <f>85+7</f>
        <v>92</v>
      </c>
      <c r="C10" s="141">
        <v>126</v>
      </c>
      <c r="D10" s="141">
        <f>110+47</f>
        <v>157</v>
      </c>
      <c r="E10" s="141">
        <v>0</v>
      </c>
      <c r="F10" s="141">
        <v>154</v>
      </c>
      <c r="G10" s="141">
        <v>60</v>
      </c>
      <c r="H10" s="141">
        <v>48</v>
      </c>
      <c r="I10" s="141">
        <v>166</v>
      </c>
      <c r="J10" s="141">
        <f>90+90</f>
        <v>180</v>
      </c>
      <c r="K10" s="142">
        <v>0</v>
      </c>
      <c r="L10" s="143"/>
      <c r="M10" s="144"/>
      <c r="N10" s="144"/>
      <c r="O10" s="144"/>
      <c r="P10" s="141"/>
      <c r="Q10" s="141"/>
      <c r="R10" s="141">
        <v>60</v>
      </c>
      <c r="S10" s="141"/>
      <c r="T10" s="144"/>
      <c r="U10" s="141"/>
      <c r="V10" s="141"/>
      <c r="W10" s="141"/>
      <c r="X10" s="141"/>
      <c r="Y10" s="141">
        <v>106</v>
      </c>
      <c r="Z10" s="141"/>
      <c r="AA10" s="141">
        <v>118</v>
      </c>
      <c r="AB10" s="141">
        <v>23</v>
      </c>
      <c r="AC10" s="151"/>
      <c r="AD10" s="141"/>
      <c r="AE10" s="141"/>
      <c r="AF10" s="141"/>
      <c r="AG10" s="141"/>
      <c r="AH10" s="141"/>
      <c r="AI10" s="141"/>
    </row>
    <row r="11" spans="1:35">
      <c r="A11" s="137" t="s">
        <v>329</v>
      </c>
      <c r="B11" s="294">
        <f t="shared" ref="B11:I11" si="5">B8+B10</f>
        <v>43686</v>
      </c>
      <c r="C11" s="294">
        <f t="shared" si="5"/>
        <v>43687</v>
      </c>
      <c r="D11" s="294">
        <f t="shared" si="5"/>
        <v>43738</v>
      </c>
      <c r="E11" s="294">
        <f t="shared" si="5"/>
        <v>43589</v>
      </c>
      <c r="F11" s="294">
        <f t="shared" si="5"/>
        <v>43684</v>
      </c>
      <c r="G11" s="294">
        <f t="shared" si="5"/>
        <v>43706</v>
      </c>
      <c r="H11" s="294">
        <f t="shared" si="5"/>
        <v>43666</v>
      </c>
      <c r="I11" s="294">
        <f t="shared" si="5"/>
        <v>43799</v>
      </c>
      <c r="J11" s="294">
        <v>43828</v>
      </c>
      <c r="K11" s="152">
        <f t="shared" ref="K11:U11" si="6">K8+K10</f>
        <v>43744</v>
      </c>
      <c r="L11" s="153">
        <f t="shared" si="6"/>
        <v>43827</v>
      </c>
      <c r="M11" s="294">
        <f t="shared" si="6"/>
        <v>43826</v>
      </c>
      <c r="N11" s="294">
        <f t="shared" si="6"/>
        <v>0</v>
      </c>
      <c r="O11" s="294">
        <f t="shared" si="6"/>
        <v>43613</v>
      </c>
      <c r="P11" s="294">
        <f t="shared" si="6"/>
        <v>43096</v>
      </c>
      <c r="Q11" s="294">
        <f t="shared" si="6"/>
        <v>43618</v>
      </c>
      <c r="R11" s="294">
        <f t="shared" si="6"/>
        <v>43801</v>
      </c>
      <c r="S11" s="294">
        <f t="shared" si="6"/>
        <v>0</v>
      </c>
      <c r="T11" s="294">
        <f t="shared" si="6"/>
        <v>0</v>
      </c>
      <c r="U11" s="294">
        <f t="shared" si="6"/>
        <v>43560</v>
      </c>
      <c r="V11" s="294"/>
      <c r="W11" s="294"/>
      <c r="X11" s="294"/>
      <c r="Y11" s="294">
        <f t="shared" ref="Y11:AF11" si="7">Y8+Y10</f>
        <v>43750</v>
      </c>
      <c r="Z11" s="294">
        <f t="shared" si="7"/>
        <v>43613</v>
      </c>
      <c r="AA11" s="294">
        <f t="shared" si="7"/>
        <v>43759</v>
      </c>
      <c r="AB11" s="294">
        <f t="shared" si="7"/>
        <v>43738</v>
      </c>
      <c r="AC11" s="294">
        <f t="shared" si="7"/>
        <v>43593</v>
      </c>
      <c r="AD11" s="294">
        <f t="shared" si="7"/>
        <v>43602</v>
      </c>
      <c r="AE11" s="294">
        <f t="shared" si="7"/>
        <v>0</v>
      </c>
      <c r="AF11" s="294">
        <f t="shared" si="7"/>
        <v>0</v>
      </c>
      <c r="AG11" s="294"/>
      <c r="AH11" s="294">
        <f t="shared" ref="AH11:AI11" si="8">AH8+AH10</f>
        <v>0</v>
      </c>
      <c r="AI11" s="294">
        <f t="shared" si="8"/>
        <v>0</v>
      </c>
    </row>
    <row r="12" spans="1:35">
      <c r="A12" s="137" t="s">
        <v>330</v>
      </c>
      <c r="B12" s="154">
        <v>46988647.32</v>
      </c>
      <c r="C12" s="155">
        <v>10400000</v>
      </c>
      <c r="D12" s="155">
        <v>20038576.34</v>
      </c>
      <c r="E12" s="155">
        <v>2041144.77</v>
      </c>
      <c r="F12" s="155">
        <v>1928377.13</v>
      </c>
      <c r="G12" s="155">
        <v>49061351.890000001</v>
      </c>
      <c r="H12" s="155">
        <v>3223826.56</v>
      </c>
      <c r="I12" s="155">
        <v>14420000</v>
      </c>
      <c r="J12" s="155">
        <v>18732216.469999999</v>
      </c>
      <c r="K12" s="156">
        <v>7570000</v>
      </c>
      <c r="L12" s="157">
        <v>11477575.51</v>
      </c>
      <c r="M12" s="158">
        <v>15954884.859999999</v>
      </c>
      <c r="N12" s="158">
        <v>28508416.920000002</v>
      </c>
      <c r="O12" s="158">
        <v>8156502.939199999</v>
      </c>
      <c r="P12" s="155">
        <f>29550380.3</f>
        <v>29550380.300000001</v>
      </c>
      <c r="Q12" s="155">
        <f>16727290+4925519.78+8162438.51</f>
        <v>29815248.289999999</v>
      </c>
      <c r="R12" s="155">
        <v>45146091.270000003</v>
      </c>
      <c r="S12" s="155">
        <v>40506400</v>
      </c>
      <c r="T12" s="158">
        <v>5075163.37</v>
      </c>
      <c r="U12" s="155">
        <v>7996108.6699999999</v>
      </c>
      <c r="V12" s="155">
        <v>7906121.7000000002</v>
      </c>
      <c r="W12" s="155">
        <v>12930396.48</v>
      </c>
      <c r="X12" s="155">
        <v>10642450.210000001</v>
      </c>
      <c r="Y12" s="155">
        <v>4982720.2</v>
      </c>
      <c r="Z12" s="155">
        <v>4114495</v>
      </c>
      <c r="AA12" s="155">
        <v>3093000</v>
      </c>
      <c r="AB12" s="155">
        <v>3554213.16</v>
      </c>
      <c r="AC12" s="155">
        <v>13287855.630000001</v>
      </c>
      <c r="AD12" s="155">
        <v>1373950</v>
      </c>
      <c r="AE12" s="155">
        <v>7687592.4900000002</v>
      </c>
      <c r="AF12" s="155">
        <v>4463492.8</v>
      </c>
      <c r="AG12" s="155">
        <v>2276542.5099999998</v>
      </c>
      <c r="AH12" s="155">
        <v>5994915.7300000004</v>
      </c>
      <c r="AI12" s="159">
        <v>12484500</v>
      </c>
    </row>
    <row r="13" spans="1:35">
      <c r="A13" s="137" t="s">
        <v>331</v>
      </c>
      <c r="B13" s="295">
        <f t="shared" ref="B13:AI13" si="9">SUM(B64:B104)+SUM(B122:B130)+SUM(B148:B149)</f>
        <v>5308341.0199999996</v>
      </c>
      <c r="C13" s="295">
        <f t="shared" si="9"/>
        <v>2177357.5</v>
      </c>
      <c r="D13" s="295">
        <f t="shared" si="9"/>
        <v>4010457.96</v>
      </c>
      <c r="E13" s="295">
        <f t="shared" si="9"/>
        <v>261489.41999999998</v>
      </c>
      <c r="F13" s="295">
        <f t="shared" si="9"/>
        <v>0</v>
      </c>
      <c r="G13" s="295">
        <f t="shared" si="9"/>
        <v>16457328.359999999</v>
      </c>
      <c r="H13" s="295">
        <f t="shared" si="9"/>
        <v>0</v>
      </c>
      <c r="I13" s="295">
        <f t="shared" si="9"/>
        <v>1601979.58</v>
      </c>
      <c r="J13" s="295">
        <f t="shared" si="9"/>
        <v>6579102.21</v>
      </c>
      <c r="K13" s="295">
        <f t="shared" si="9"/>
        <v>1824905.15</v>
      </c>
      <c r="L13" s="295">
        <f t="shared" si="9"/>
        <v>1924363.56</v>
      </c>
      <c r="M13" s="295">
        <f t="shared" si="9"/>
        <v>3131631.9099999997</v>
      </c>
      <c r="N13" s="295">
        <f t="shared" si="9"/>
        <v>0</v>
      </c>
      <c r="O13" s="295">
        <f t="shared" si="9"/>
        <v>1711778.1799999997</v>
      </c>
      <c r="P13" s="295">
        <f t="shared" si="9"/>
        <v>244038.88</v>
      </c>
      <c r="Q13" s="295">
        <f t="shared" si="9"/>
        <v>0</v>
      </c>
      <c r="R13" s="295">
        <f t="shared" si="9"/>
        <v>79912.45</v>
      </c>
      <c r="S13" s="295">
        <f t="shared" si="9"/>
        <v>14904940.285321746</v>
      </c>
      <c r="T13" s="295">
        <f t="shared" si="9"/>
        <v>0</v>
      </c>
      <c r="U13" s="295">
        <f t="shared" si="9"/>
        <v>2552033.8800000004</v>
      </c>
      <c r="V13" s="295">
        <f t="shared" si="9"/>
        <v>0</v>
      </c>
      <c r="W13" s="295">
        <f t="shared" si="9"/>
        <v>0</v>
      </c>
      <c r="X13" s="295">
        <f t="shared" si="9"/>
        <v>0</v>
      </c>
      <c r="Y13" s="295">
        <f t="shared" si="9"/>
        <v>0</v>
      </c>
      <c r="Z13" s="295">
        <f t="shared" si="9"/>
        <v>0</v>
      </c>
      <c r="AA13" s="295">
        <f t="shared" si="9"/>
        <v>0</v>
      </c>
      <c r="AB13" s="295">
        <f t="shared" si="9"/>
        <v>0</v>
      </c>
      <c r="AC13" s="295">
        <f t="shared" si="9"/>
        <v>1622226.52</v>
      </c>
      <c r="AD13" s="295">
        <f t="shared" si="9"/>
        <v>0</v>
      </c>
      <c r="AE13" s="295">
        <f t="shared" si="9"/>
        <v>2003048.6800000002</v>
      </c>
      <c r="AF13" s="295">
        <f t="shared" si="9"/>
        <v>0</v>
      </c>
      <c r="AG13" s="295">
        <f t="shared" si="9"/>
        <v>531770.68000000005</v>
      </c>
      <c r="AH13" s="295">
        <f t="shared" si="9"/>
        <v>0</v>
      </c>
      <c r="AI13" s="295">
        <f t="shared" si="9"/>
        <v>0</v>
      </c>
    </row>
    <row r="14" spans="1:35">
      <c r="A14" s="137" t="s">
        <v>332</v>
      </c>
      <c r="B14" s="296">
        <f t="shared" ref="B14:U14" si="10">SUM(B106:B115)</f>
        <v>0</v>
      </c>
      <c r="C14" s="106">
        <f t="shared" si="10"/>
        <v>0</v>
      </c>
      <c r="D14" s="106">
        <f t="shared" si="10"/>
        <v>0</v>
      </c>
      <c r="E14" s="106">
        <f t="shared" si="10"/>
        <v>0</v>
      </c>
      <c r="F14" s="106">
        <f t="shared" si="10"/>
        <v>0</v>
      </c>
      <c r="G14" s="106">
        <f t="shared" si="10"/>
        <v>0</v>
      </c>
      <c r="H14" s="106">
        <f t="shared" si="10"/>
        <v>0</v>
      </c>
      <c r="I14" s="106">
        <f t="shared" si="10"/>
        <v>0</v>
      </c>
      <c r="J14" s="106">
        <f t="shared" si="10"/>
        <v>0</v>
      </c>
      <c r="K14" s="295">
        <f t="shared" si="10"/>
        <v>0</v>
      </c>
      <c r="L14" s="160">
        <f t="shared" si="10"/>
        <v>0</v>
      </c>
      <c r="M14" s="106">
        <f t="shared" si="10"/>
        <v>0</v>
      </c>
      <c r="N14" s="106">
        <f t="shared" si="10"/>
        <v>0</v>
      </c>
      <c r="O14" s="106">
        <f t="shared" si="10"/>
        <v>0</v>
      </c>
      <c r="P14" s="106">
        <f t="shared" si="10"/>
        <v>0</v>
      </c>
      <c r="Q14" s="106">
        <f t="shared" si="10"/>
        <v>0</v>
      </c>
      <c r="R14" s="106">
        <f t="shared" si="10"/>
        <v>0</v>
      </c>
      <c r="S14" s="106">
        <f t="shared" si="10"/>
        <v>0</v>
      </c>
      <c r="T14" s="106">
        <f t="shared" si="10"/>
        <v>0</v>
      </c>
      <c r="U14" s="106">
        <f t="shared" si="10"/>
        <v>0</v>
      </c>
      <c r="V14" s="106"/>
      <c r="W14" s="106"/>
      <c r="X14" s="106"/>
      <c r="Y14" s="106">
        <f t="shared" ref="Y14:AI14" si="11">SUM(Y106:Y115)</f>
        <v>0</v>
      </c>
      <c r="Z14" s="106">
        <f t="shared" si="11"/>
        <v>0</v>
      </c>
      <c r="AA14" s="106">
        <f t="shared" si="11"/>
        <v>0</v>
      </c>
      <c r="AB14" s="106">
        <f t="shared" si="11"/>
        <v>0</v>
      </c>
      <c r="AC14" s="106">
        <f t="shared" si="11"/>
        <v>0</v>
      </c>
      <c r="AD14" s="106">
        <f t="shared" si="11"/>
        <v>0</v>
      </c>
      <c r="AE14" s="106">
        <f t="shared" si="11"/>
        <v>0</v>
      </c>
      <c r="AF14" s="106">
        <f t="shared" si="11"/>
        <v>0</v>
      </c>
      <c r="AG14" s="106">
        <f t="shared" si="11"/>
        <v>0</v>
      </c>
      <c r="AH14" s="106">
        <f t="shared" si="11"/>
        <v>0</v>
      </c>
      <c r="AI14" s="106">
        <f t="shared" si="11"/>
        <v>0</v>
      </c>
    </row>
    <row r="15" spans="1:35">
      <c r="A15" s="137" t="s">
        <v>333</v>
      </c>
      <c r="B15" s="154">
        <v>4865794.93</v>
      </c>
      <c r="C15" s="155">
        <v>1112378</v>
      </c>
      <c r="D15" s="155">
        <v>0</v>
      </c>
      <c r="E15" s="155">
        <v>0</v>
      </c>
      <c r="F15" s="155">
        <v>410424.89</v>
      </c>
      <c r="G15" s="155">
        <v>7767134.0199999996</v>
      </c>
      <c r="H15" s="155">
        <v>410424.89</v>
      </c>
      <c r="I15" s="106">
        <v>931937.12</v>
      </c>
      <c r="J15" s="155">
        <v>1306800</v>
      </c>
      <c r="K15" s="156">
        <v>46131.45</v>
      </c>
      <c r="L15" s="157">
        <v>0</v>
      </c>
      <c r="M15" s="158">
        <v>0</v>
      </c>
      <c r="N15" s="158">
        <f>2561383.95+1869237.69</f>
        <v>4430621.6400000006</v>
      </c>
      <c r="O15" s="158">
        <v>1528435.1</v>
      </c>
      <c r="P15" s="155">
        <v>11155953.300000001</v>
      </c>
      <c r="Q15" s="155">
        <v>0</v>
      </c>
      <c r="R15" s="155">
        <v>3754594.05</v>
      </c>
      <c r="S15" s="155">
        <v>0</v>
      </c>
      <c r="T15" s="158">
        <f>147182.17+216858.06</f>
        <v>364040.23</v>
      </c>
      <c r="U15" s="155">
        <v>0</v>
      </c>
      <c r="V15" s="155"/>
      <c r="W15" s="155"/>
      <c r="X15" s="155"/>
      <c r="Y15" s="155">
        <v>183203.20000000001</v>
      </c>
      <c r="Z15" s="155">
        <v>436600</v>
      </c>
      <c r="AA15" s="155">
        <v>692811</v>
      </c>
      <c r="AB15" s="155">
        <v>0</v>
      </c>
      <c r="AC15" s="155">
        <v>1361199.85</v>
      </c>
      <c r="AD15" s="155">
        <v>0</v>
      </c>
      <c r="AE15" s="155">
        <v>274800</v>
      </c>
      <c r="AF15" s="155">
        <v>112057.93</v>
      </c>
      <c r="AG15" s="155">
        <f>285520.04+338560.33</f>
        <v>624080.37</v>
      </c>
      <c r="AH15" s="155">
        <v>902302.04</v>
      </c>
      <c r="AI15" s="155">
        <v>0</v>
      </c>
    </row>
    <row r="16" spans="1:35">
      <c r="A16" s="137" t="s">
        <v>334</v>
      </c>
      <c r="B16" s="154">
        <v>4149868.04</v>
      </c>
      <c r="C16" s="155">
        <v>0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6">
        <v>0</v>
      </c>
      <c r="L16" s="157">
        <v>0</v>
      </c>
      <c r="M16" s="158">
        <v>137339.03</v>
      </c>
      <c r="N16" s="158">
        <v>0</v>
      </c>
      <c r="O16" s="158">
        <v>0</v>
      </c>
      <c r="P16" s="155">
        <v>0</v>
      </c>
      <c r="Q16" s="155">
        <v>0</v>
      </c>
      <c r="R16" s="155">
        <v>0</v>
      </c>
      <c r="S16" s="155">
        <v>0</v>
      </c>
      <c r="T16" s="158">
        <v>0</v>
      </c>
      <c r="U16" s="155">
        <v>0</v>
      </c>
      <c r="V16" s="155"/>
      <c r="W16" s="155"/>
      <c r="X16" s="155"/>
      <c r="Y16" s="155"/>
      <c r="Z16" s="155">
        <v>0</v>
      </c>
      <c r="AA16" s="155">
        <v>0</v>
      </c>
      <c r="AB16" s="155">
        <f>(141196.93+299727.76)*1.21</f>
        <v>533518.87489999994</v>
      </c>
      <c r="AC16" s="155">
        <v>0</v>
      </c>
      <c r="AD16" s="155">
        <v>0</v>
      </c>
      <c r="AE16" s="155">
        <v>0</v>
      </c>
      <c r="AF16" s="155">
        <v>0</v>
      </c>
      <c r="AG16" s="155">
        <v>0</v>
      </c>
      <c r="AH16" s="155">
        <v>0</v>
      </c>
      <c r="AI16" s="155">
        <v>0</v>
      </c>
    </row>
    <row r="17" spans="1:35">
      <c r="A17" s="137" t="s">
        <v>335</v>
      </c>
      <c r="B17" s="296">
        <v>0</v>
      </c>
      <c r="C17" s="296">
        <v>0</v>
      </c>
      <c r="D17" s="296">
        <v>0</v>
      </c>
      <c r="E17" s="296">
        <v>0</v>
      </c>
      <c r="F17" s="296">
        <v>0</v>
      </c>
      <c r="G17" s="296">
        <v>0</v>
      </c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96">
        <v>0</v>
      </c>
      <c r="S17" s="296">
        <v>0</v>
      </c>
      <c r="T17" s="296">
        <v>0</v>
      </c>
      <c r="U17" s="296">
        <v>0</v>
      </c>
      <c r="V17" s="296">
        <v>0</v>
      </c>
      <c r="W17" s="296">
        <v>0</v>
      </c>
      <c r="X17" s="296">
        <v>0</v>
      </c>
      <c r="Y17" s="106">
        <v>465402.6</v>
      </c>
      <c r="Z17" s="296">
        <v>0</v>
      </c>
      <c r="AA17" s="296">
        <v>0</v>
      </c>
      <c r="AB17" s="296">
        <v>0</v>
      </c>
      <c r="AC17" s="296">
        <v>0</v>
      </c>
      <c r="AD17" s="296">
        <v>0</v>
      </c>
      <c r="AE17" s="296">
        <v>0</v>
      </c>
      <c r="AF17" s="296">
        <v>0</v>
      </c>
      <c r="AG17" s="296">
        <v>0</v>
      </c>
      <c r="AH17" s="296">
        <v>0</v>
      </c>
      <c r="AI17" s="296">
        <v>0</v>
      </c>
    </row>
    <row r="18" spans="1:35">
      <c r="A18" s="161" t="s">
        <v>27</v>
      </c>
      <c r="B18" s="162">
        <f t="shared" ref="B18:U18" si="12">SUM(B12:B17)</f>
        <v>61312651.310000002</v>
      </c>
      <c r="C18" s="163">
        <f t="shared" si="12"/>
        <v>13689735.5</v>
      </c>
      <c r="D18" s="163">
        <f t="shared" si="12"/>
        <v>24049034.300000001</v>
      </c>
      <c r="E18" s="163">
        <f t="shared" si="12"/>
        <v>2302634.19</v>
      </c>
      <c r="F18" s="163">
        <f t="shared" si="12"/>
        <v>2338802.02</v>
      </c>
      <c r="G18" s="163">
        <f t="shared" si="12"/>
        <v>73285814.269999996</v>
      </c>
      <c r="H18" s="163">
        <f t="shared" si="12"/>
        <v>3634251.45</v>
      </c>
      <c r="I18" s="163">
        <f t="shared" si="12"/>
        <v>16953916.699999999</v>
      </c>
      <c r="J18" s="163">
        <f t="shared" si="12"/>
        <v>26618118.68</v>
      </c>
      <c r="K18" s="297">
        <f t="shared" si="12"/>
        <v>9441036.5999999996</v>
      </c>
      <c r="L18" s="164">
        <f t="shared" si="12"/>
        <v>13401939.07</v>
      </c>
      <c r="M18" s="163">
        <f t="shared" si="12"/>
        <v>19223855.800000001</v>
      </c>
      <c r="N18" s="163">
        <f t="shared" si="12"/>
        <v>32939038.560000002</v>
      </c>
      <c r="O18" s="163">
        <f t="shared" si="12"/>
        <v>11396716.219199998</v>
      </c>
      <c r="P18" s="163">
        <f t="shared" si="12"/>
        <v>40950372.480000004</v>
      </c>
      <c r="Q18" s="163">
        <f t="shared" si="12"/>
        <v>29815248.289999999</v>
      </c>
      <c r="R18" s="163">
        <f t="shared" si="12"/>
        <v>48980597.770000003</v>
      </c>
      <c r="S18" s="163">
        <f t="shared" si="12"/>
        <v>55411340.285321742</v>
      </c>
      <c r="T18" s="163">
        <f t="shared" si="12"/>
        <v>5439203.5999999996</v>
      </c>
      <c r="U18" s="163">
        <f t="shared" si="12"/>
        <v>10548142.550000001</v>
      </c>
      <c r="V18" s="163"/>
      <c r="W18" s="163"/>
      <c r="X18" s="163">
        <f t="shared" ref="X18:AI18" si="13">SUM(X12:X17)</f>
        <v>10642450.210000001</v>
      </c>
      <c r="Y18" s="163">
        <f t="shared" si="13"/>
        <v>5631326</v>
      </c>
      <c r="Z18" s="163">
        <f t="shared" si="13"/>
        <v>4551095</v>
      </c>
      <c r="AA18" s="163">
        <f t="shared" si="13"/>
        <v>3785811</v>
      </c>
      <c r="AB18" s="163">
        <f t="shared" si="13"/>
        <v>4087732.0349000003</v>
      </c>
      <c r="AC18" s="163">
        <f t="shared" si="13"/>
        <v>16271282</v>
      </c>
      <c r="AD18" s="163">
        <f t="shared" si="13"/>
        <v>1373950</v>
      </c>
      <c r="AE18" s="163">
        <f t="shared" si="13"/>
        <v>9965441.1699999999</v>
      </c>
      <c r="AF18" s="163">
        <f t="shared" si="13"/>
        <v>4575550.7299999995</v>
      </c>
      <c r="AG18" s="163">
        <f t="shared" si="13"/>
        <v>3432393.56</v>
      </c>
      <c r="AH18" s="163">
        <f t="shared" si="13"/>
        <v>6897217.7700000005</v>
      </c>
      <c r="AI18" s="163">
        <f t="shared" si="13"/>
        <v>12484500</v>
      </c>
    </row>
    <row r="19" spans="1:35">
      <c r="A19" s="165" t="s">
        <v>336</v>
      </c>
      <c r="B19" s="166"/>
      <c r="C19" s="167"/>
      <c r="D19" s="167"/>
      <c r="E19" s="167"/>
      <c r="F19" s="167"/>
      <c r="G19" s="167">
        <v>7359202.79</v>
      </c>
      <c r="H19" s="167"/>
      <c r="I19" s="167">
        <v>3906925.44</v>
      </c>
      <c r="J19" s="167">
        <v>3630000</v>
      </c>
      <c r="K19" s="298"/>
      <c r="L19" s="168">
        <v>0</v>
      </c>
      <c r="M19" s="169">
        <v>2120051.61</v>
      </c>
      <c r="N19" s="169"/>
      <c r="O19" s="169">
        <v>2694288.07</v>
      </c>
      <c r="P19" s="167"/>
      <c r="Q19" s="167"/>
      <c r="R19" s="167"/>
      <c r="S19" s="167"/>
      <c r="T19" s="169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</row>
    <row r="20" spans="1:35">
      <c r="A20" s="161" t="s">
        <v>337</v>
      </c>
      <c r="B20" s="170"/>
      <c r="C20" s="171"/>
      <c r="D20" s="171"/>
      <c r="E20" s="171">
        <v>510286.19</v>
      </c>
      <c r="F20" s="171"/>
      <c r="G20" s="171"/>
      <c r="H20" s="171"/>
      <c r="I20" s="171"/>
      <c r="J20" s="171"/>
      <c r="K20" s="172"/>
      <c r="L20" s="173">
        <v>3443272.65</v>
      </c>
      <c r="M20" s="174"/>
      <c r="N20" s="174"/>
      <c r="O20" s="174"/>
      <c r="P20" s="171"/>
      <c r="Q20" s="171">
        <v>4961872.97</v>
      </c>
      <c r="R20" s="171"/>
      <c r="S20" s="171"/>
      <c r="T20" s="174"/>
      <c r="U20" s="171"/>
      <c r="V20" s="171"/>
      <c r="W20" s="171"/>
      <c r="X20" s="171"/>
      <c r="Y20" s="171">
        <v>1494816.06</v>
      </c>
      <c r="Z20" s="171"/>
      <c r="AA20" s="171">
        <v>927900</v>
      </c>
      <c r="AB20" s="171">
        <v>1066263.95</v>
      </c>
      <c r="AC20" s="171"/>
      <c r="AD20" s="171"/>
      <c r="AE20" s="171">
        <v>1153138.8700000001</v>
      </c>
      <c r="AF20" s="171"/>
      <c r="AG20" s="171">
        <v>420968.05</v>
      </c>
      <c r="AH20" s="171"/>
      <c r="AI20" s="171"/>
    </row>
    <row r="21" spans="1:35" ht="15.75" customHeight="1">
      <c r="A21" s="299" t="s">
        <v>338</v>
      </c>
      <c r="B21" s="300"/>
      <c r="C21" s="300"/>
      <c r="D21" s="300"/>
      <c r="E21" s="300"/>
      <c r="F21" s="300"/>
      <c r="G21" s="301"/>
      <c r="H21" s="300"/>
      <c r="I21" s="300"/>
      <c r="J21" s="300"/>
      <c r="K21" s="302"/>
      <c r="L21" s="303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  <c r="AI21" s="300"/>
    </row>
    <row r="22" spans="1:35" ht="15.75" customHeight="1">
      <c r="A22" s="175" t="s">
        <v>339</v>
      </c>
      <c r="B22" s="106">
        <v>10700774.279999999</v>
      </c>
      <c r="C22" s="106">
        <v>1975116</v>
      </c>
      <c r="D22" s="106">
        <v>2810467.52</v>
      </c>
      <c r="E22" s="106">
        <v>1253378.03</v>
      </c>
      <c r="F22" s="106">
        <v>446890.25</v>
      </c>
      <c r="G22" s="106">
        <v>1991027.7</v>
      </c>
      <c r="H22" s="106">
        <v>525094.34</v>
      </c>
      <c r="I22" s="106">
        <v>231614.61</v>
      </c>
      <c r="J22" s="106">
        <v>1717889.65</v>
      </c>
      <c r="K22" s="106">
        <v>1436730.48</v>
      </c>
      <c r="L22" s="106">
        <v>1396519.33</v>
      </c>
      <c r="M22" s="106">
        <v>1141051.8768</v>
      </c>
      <c r="N22" s="106">
        <v>558243.65</v>
      </c>
      <c r="O22" s="106">
        <f>3081339.52*1.21</f>
        <v>3728420.8191999998</v>
      </c>
      <c r="P22" s="106">
        <v>5010861.8099999996</v>
      </c>
      <c r="Q22" s="106">
        <v>3138872.61</v>
      </c>
      <c r="R22" s="106">
        <v>646540.85</v>
      </c>
      <c r="S22" s="106">
        <v>4395444.99</v>
      </c>
      <c r="T22" s="106"/>
      <c r="U22" s="106">
        <v>1026614.47</v>
      </c>
      <c r="V22" s="106">
        <v>1169063.33</v>
      </c>
      <c r="W22" s="106"/>
      <c r="X22" s="106">
        <v>2616695.19</v>
      </c>
      <c r="Y22" s="106">
        <v>2583416.14</v>
      </c>
      <c r="Z22" s="106">
        <v>2870683.16</v>
      </c>
      <c r="AA22" s="106">
        <v>1022347.85</v>
      </c>
      <c r="AB22" s="106">
        <v>627318.62</v>
      </c>
      <c r="AC22" s="106">
        <v>2198555.9500000002</v>
      </c>
      <c r="AD22" s="106">
        <v>1373950</v>
      </c>
      <c r="AE22" s="106">
        <v>3411753.55</v>
      </c>
      <c r="AF22" s="106">
        <v>1617620.03</v>
      </c>
      <c r="AG22" s="106">
        <v>582104.18999999994</v>
      </c>
      <c r="AH22" s="106">
        <v>773699.53</v>
      </c>
      <c r="AI22" s="106"/>
    </row>
    <row r="23" spans="1:35" ht="15.75" customHeight="1">
      <c r="A23" s="175" t="s">
        <v>340</v>
      </c>
      <c r="B23" s="106">
        <v>14711305.189999999</v>
      </c>
      <c r="C23" s="106">
        <v>2208544</v>
      </c>
      <c r="D23" s="106">
        <v>3142362.19</v>
      </c>
      <c r="E23" s="106">
        <v>787766.75</v>
      </c>
      <c r="F23" s="106">
        <v>1128531.8700000001</v>
      </c>
      <c r="G23" s="106">
        <v>3772421.73</v>
      </c>
      <c r="H23" s="106">
        <v>1379452.38</v>
      </c>
      <c r="I23" s="106">
        <v>45553.440000000002</v>
      </c>
      <c r="J23" s="106">
        <v>1202252.69</v>
      </c>
      <c r="K23" s="106">
        <v>1596107.45</v>
      </c>
      <c r="L23" s="106">
        <v>766293.73</v>
      </c>
      <c r="M23" s="106">
        <v>2603912.3528</v>
      </c>
      <c r="N23" s="106">
        <v>1249320.81</v>
      </c>
      <c r="O23" s="106">
        <f>879577.2*1.21</f>
        <v>1064288.412</v>
      </c>
      <c r="P23" s="106">
        <v>7744143.5</v>
      </c>
      <c r="Q23" s="106">
        <v>2318816.29</v>
      </c>
      <c r="R23" s="106">
        <v>1024258.39</v>
      </c>
      <c r="S23" s="106">
        <v>6933385.4100000001</v>
      </c>
      <c r="T23" s="106"/>
      <c r="U23" s="106">
        <v>1756065.11</v>
      </c>
      <c r="V23" s="106"/>
      <c r="W23" s="106"/>
      <c r="X23" s="106"/>
      <c r="Y23" s="106">
        <v>2295581.4300000002</v>
      </c>
      <c r="Z23" s="106">
        <v>1243811.8400000001</v>
      </c>
      <c r="AA23" s="106">
        <v>1915989.78</v>
      </c>
      <c r="AB23" s="106">
        <v>1924606.43</v>
      </c>
      <c r="AC23" s="106">
        <v>3332727.63</v>
      </c>
      <c r="AD23" s="106"/>
      <c r="AE23" s="106">
        <v>1399141.83</v>
      </c>
      <c r="AF23" s="106">
        <v>542684.43000000005</v>
      </c>
      <c r="AG23" s="106">
        <v>613506.66249999998</v>
      </c>
      <c r="AH23" s="106">
        <v>538442.26</v>
      </c>
      <c r="AI23" s="106"/>
    </row>
    <row r="24" spans="1:35" ht="15.75" customHeight="1">
      <c r="A24" s="175" t="s">
        <v>341</v>
      </c>
      <c r="B24" s="106">
        <v>13804801.85</v>
      </c>
      <c r="C24" s="106">
        <v>4625816</v>
      </c>
      <c r="D24" s="106">
        <v>595453.11</v>
      </c>
      <c r="E24" s="106"/>
      <c r="F24" s="106">
        <v>247335.97</v>
      </c>
      <c r="G24" s="106">
        <v>5513516.7300000004</v>
      </c>
      <c r="H24" s="106">
        <v>1154845.7</v>
      </c>
      <c r="I24" s="106">
        <v>786905.55</v>
      </c>
      <c r="J24" s="106">
        <v>798792.49</v>
      </c>
      <c r="K24" s="106">
        <v>2102654.0299999998</v>
      </c>
      <c r="L24" s="106">
        <v>564531.30000000005</v>
      </c>
      <c r="M24" s="106">
        <v>3799994.2</v>
      </c>
      <c r="N24" s="106">
        <v>1741703.84</v>
      </c>
      <c r="O24" s="106">
        <v>1533114.63</v>
      </c>
      <c r="P24" s="106">
        <v>1405741.75</v>
      </c>
      <c r="Q24" s="106">
        <v>1803590.66</v>
      </c>
      <c r="R24" s="106">
        <v>324228.36</v>
      </c>
      <c r="S24" s="106">
        <v>823089.6</v>
      </c>
      <c r="T24" s="106"/>
      <c r="U24" s="106">
        <v>1456615.66</v>
      </c>
      <c r="V24" s="106"/>
      <c r="W24" s="106"/>
      <c r="X24" s="106"/>
      <c r="Y24" s="106">
        <v>0</v>
      </c>
      <c r="Z24" s="106"/>
      <c r="AA24" s="106">
        <v>154650</v>
      </c>
      <c r="AB24" s="106">
        <v>862758.58499999996</v>
      </c>
      <c r="AC24" s="106">
        <v>6091713.9199999999</v>
      </c>
      <c r="AD24" s="106"/>
      <c r="AE24" s="106">
        <v>2876697.11</v>
      </c>
      <c r="AF24" s="106">
        <v>536041.07999999996</v>
      </c>
      <c r="AG24" s="106">
        <v>367409.59</v>
      </c>
      <c r="AH24" s="106">
        <v>1438998.23</v>
      </c>
      <c r="AI24" s="106"/>
    </row>
    <row r="25" spans="1:35" ht="15.75" customHeight="1">
      <c r="A25" s="175" t="s">
        <v>342</v>
      </c>
      <c r="B25" s="106">
        <v>6746855.3300000001</v>
      </c>
      <c r="C25" s="106">
        <v>1155128</v>
      </c>
      <c r="D25" s="106">
        <v>3255283.84</v>
      </c>
      <c r="E25" s="106"/>
      <c r="F25" s="106">
        <v>105619.04</v>
      </c>
      <c r="G25" s="106">
        <v>7991324.0499999998</v>
      </c>
      <c r="H25" s="106">
        <v>147522.68</v>
      </c>
      <c r="I25" s="106">
        <v>286450.57</v>
      </c>
      <c r="J25" s="106">
        <v>826226.67</v>
      </c>
      <c r="K25" s="106">
        <v>1439251.12</v>
      </c>
      <c r="L25" s="106">
        <v>0</v>
      </c>
      <c r="M25" s="106">
        <v>2648674.33</v>
      </c>
      <c r="N25" s="106">
        <v>1969721.27</v>
      </c>
      <c r="O25" s="106">
        <v>1501680.63</v>
      </c>
      <c r="P25" s="106">
        <v>2763551.13</v>
      </c>
      <c r="Q25" s="106">
        <v>0</v>
      </c>
      <c r="R25" s="106"/>
      <c r="S25" s="176">
        <v>13765350.130000001</v>
      </c>
      <c r="T25" s="106">
        <v>239629</v>
      </c>
      <c r="U25" s="106">
        <v>1179477.98</v>
      </c>
      <c r="V25" s="106"/>
      <c r="W25" s="106"/>
      <c r="X25" s="106"/>
      <c r="Y25" s="106">
        <v>103722.63</v>
      </c>
      <c r="Z25" s="106"/>
      <c r="AA25" s="106"/>
      <c r="AB25" s="106">
        <v>54201.75</v>
      </c>
      <c r="AC25" s="106">
        <v>0</v>
      </c>
      <c r="AD25" s="106"/>
      <c r="AE25" s="106"/>
      <c r="AF25" s="106">
        <v>1072406.8799999999</v>
      </c>
      <c r="AG25" s="106">
        <v>135578.85999999999</v>
      </c>
      <c r="AH25" s="106">
        <v>2343775.71</v>
      </c>
      <c r="AI25" s="106"/>
    </row>
    <row r="26" spans="1:35" ht="15.75" customHeight="1">
      <c r="A26" s="175" t="s">
        <v>343</v>
      </c>
      <c r="B26" s="106">
        <v>893900.99</v>
      </c>
      <c r="C26" s="106">
        <v>435396</v>
      </c>
      <c r="D26" s="106">
        <v>1961932.02</v>
      </c>
      <c r="E26" s="106"/>
      <c r="F26" s="106"/>
      <c r="G26" s="106">
        <v>7639644.9299999997</v>
      </c>
      <c r="H26" s="106">
        <v>16911.46</v>
      </c>
      <c r="I26" s="106">
        <v>616719.43000000005</v>
      </c>
      <c r="J26" s="106">
        <v>1532033.86</v>
      </c>
      <c r="K26" s="106">
        <v>351511.89</v>
      </c>
      <c r="L26" s="106">
        <v>1588154.03</v>
      </c>
      <c r="M26" s="106">
        <v>202526.64</v>
      </c>
      <c r="N26" s="106">
        <v>1544843.91</v>
      </c>
      <c r="O26" s="106">
        <v>328998.44</v>
      </c>
      <c r="P26" s="106">
        <v>6174067.0899999999</v>
      </c>
      <c r="Q26" s="106">
        <v>0</v>
      </c>
      <c r="R26" s="106"/>
      <c r="S26" s="106">
        <v>3439032.37</v>
      </c>
      <c r="T26" s="106">
        <v>84690.52</v>
      </c>
      <c r="U26" s="106">
        <v>1125159.1000000001</v>
      </c>
      <c r="V26" s="106"/>
      <c r="W26" s="106"/>
      <c r="X26" s="106"/>
      <c r="Y26" s="106"/>
      <c r="Z26" s="106"/>
      <c r="AA26" s="106"/>
      <c r="AB26" s="106"/>
      <c r="AC26" s="106">
        <v>0</v>
      </c>
      <c r="AD26" s="106"/>
      <c r="AE26" s="106"/>
      <c r="AF26" s="106">
        <v>694740.38</v>
      </c>
      <c r="AG26" s="106">
        <v>248298.28</v>
      </c>
      <c r="AH26" s="106">
        <v>328998.40000000002</v>
      </c>
      <c r="AI26" s="106"/>
    </row>
    <row r="27" spans="1:35" ht="15.75" customHeight="1">
      <c r="A27" s="175" t="s">
        <v>344</v>
      </c>
      <c r="B27" s="106">
        <v>0</v>
      </c>
      <c r="C27" s="106"/>
      <c r="D27" s="106">
        <v>2736726.52</v>
      </c>
      <c r="E27" s="106"/>
      <c r="F27" s="106"/>
      <c r="G27" s="106">
        <v>1777754.38</v>
      </c>
      <c r="H27" s="106"/>
      <c r="I27" s="106">
        <v>1026489.43</v>
      </c>
      <c r="J27" s="106">
        <v>1561307.14</v>
      </c>
      <c r="K27" s="106">
        <v>0</v>
      </c>
      <c r="L27" s="106">
        <v>524755.1</v>
      </c>
      <c r="M27" s="106">
        <v>1942403.73</v>
      </c>
      <c r="N27" s="106">
        <v>1680366.56</v>
      </c>
      <c r="O27" s="106"/>
      <c r="P27" s="106">
        <v>1942412.23</v>
      </c>
      <c r="Q27" s="106">
        <v>0</v>
      </c>
      <c r="R27" s="106"/>
      <c r="S27" s="106">
        <v>2241452.08</v>
      </c>
      <c r="T27" s="106">
        <v>76624.759999999995</v>
      </c>
      <c r="U27" s="106">
        <v>849228.35</v>
      </c>
      <c r="V27" s="106"/>
      <c r="W27" s="106"/>
      <c r="X27" s="106"/>
      <c r="Y27" s="106"/>
      <c r="Z27" s="106"/>
      <c r="AA27" s="106"/>
      <c r="AB27" s="106"/>
      <c r="AC27" s="106">
        <v>0</v>
      </c>
      <c r="AD27" s="106"/>
      <c r="AE27" s="106"/>
      <c r="AF27" s="106"/>
      <c r="AG27" s="106">
        <v>61414.25</v>
      </c>
      <c r="AH27" s="106"/>
      <c r="AI27" s="106"/>
    </row>
    <row r="28" spans="1:35" ht="15.75" customHeight="1">
      <c r="A28" s="175" t="s">
        <v>345</v>
      </c>
      <c r="B28" s="106">
        <v>131009.68</v>
      </c>
      <c r="C28" s="106"/>
      <c r="D28" s="106">
        <v>68877.17</v>
      </c>
      <c r="E28" s="106"/>
      <c r="F28" s="106"/>
      <c r="G28" s="106">
        <v>9669453.1799999997</v>
      </c>
      <c r="H28" s="106"/>
      <c r="I28" s="106">
        <v>1108718.6200000001</v>
      </c>
      <c r="J28" s="106">
        <v>1182068.76</v>
      </c>
      <c r="K28" s="106">
        <v>0</v>
      </c>
      <c r="L28" s="106"/>
      <c r="M28" s="106"/>
      <c r="N28" s="106">
        <v>2930113.15</v>
      </c>
      <c r="O28" s="106"/>
      <c r="P28" s="106">
        <v>3257418.69</v>
      </c>
      <c r="Q28" s="106">
        <v>0</v>
      </c>
      <c r="R28" s="106"/>
      <c r="S28" s="106"/>
      <c r="T28" s="106">
        <v>141903.17000000001</v>
      </c>
      <c r="U28" s="106">
        <v>602948</v>
      </c>
      <c r="V28" s="106"/>
      <c r="W28" s="106"/>
      <c r="X28" s="106"/>
      <c r="Y28" s="106"/>
      <c r="Z28" s="106"/>
      <c r="AA28" s="106"/>
      <c r="AB28" s="106"/>
      <c r="AC28" s="106">
        <v>0</v>
      </c>
      <c r="AD28" s="106"/>
      <c r="AE28" s="106"/>
      <c r="AF28" s="106"/>
      <c r="AG28" s="106">
        <v>184551.71249999999</v>
      </c>
      <c r="AH28" s="106"/>
      <c r="AI28" s="106"/>
    </row>
    <row r="29" spans="1:35" ht="15.75" customHeight="1">
      <c r="A29" s="175" t="s">
        <v>346</v>
      </c>
      <c r="B29" s="106"/>
      <c r="C29" s="106"/>
      <c r="D29" s="106">
        <v>5187848.38</v>
      </c>
      <c r="E29" s="106"/>
      <c r="F29" s="106"/>
      <c r="G29" s="106">
        <v>6737150.6500000004</v>
      </c>
      <c r="H29" s="106"/>
      <c r="I29" s="106">
        <v>333657.2</v>
      </c>
      <c r="J29" s="106">
        <v>1820206.42</v>
      </c>
      <c r="K29" s="106">
        <v>0</v>
      </c>
      <c r="L29" s="106"/>
      <c r="M29" s="106"/>
      <c r="N29" s="106">
        <v>2890551.14</v>
      </c>
      <c r="O29" s="106"/>
      <c r="P29" s="106">
        <v>836966.27</v>
      </c>
      <c r="Q29" s="106">
        <v>0</v>
      </c>
      <c r="R29" s="106"/>
      <c r="S29" s="106"/>
      <c r="T29" s="106">
        <v>116273.7</v>
      </c>
      <c r="U29" s="106"/>
      <c r="V29" s="106"/>
      <c r="W29" s="106"/>
      <c r="X29" s="106"/>
      <c r="Y29" s="106"/>
      <c r="Z29" s="106"/>
      <c r="AA29" s="106"/>
      <c r="AB29" s="106"/>
      <c r="AC29" s="106">
        <v>944858.12</v>
      </c>
      <c r="AD29" s="106"/>
      <c r="AE29" s="106"/>
      <c r="AF29" s="106"/>
      <c r="AG29" s="106">
        <v>114964.09999999999</v>
      </c>
      <c r="AH29" s="106"/>
      <c r="AI29" s="106"/>
    </row>
    <row r="30" spans="1:35" ht="15.75" customHeight="1">
      <c r="A30" s="175" t="s">
        <v>347</v>
      </c>
      <c r="B30" s="106"/>
      <c r="C30" s="106"/>
      <c r="D30" s="106">
        <v>279625.59146742593</v>
      </c>
      <c r="E30" s="106"/>
      <c r="F30" s="106"/>
      <c r="G30" s="106">
        <v>2985633.06</v>
      </c>
      <c r="H30" s="106"/>
      <c r="I30" s="106">
        <v>98357.33</v>
      </c>
      <c r="J30" s="106">
        <v>1188125.26</v>
      </c>
      <c r="K30" s="106">
        <v>314435.5</v>
      </c>
      <c r="L30" s="106"/>
      <c r="M30" s="106"/>
      <c r="N30" s="106">
        <v>1409557.84</v>
      </c>
      <c r="O30" s="106"/>
      <c r="P30" s="106">
        <v>71210.19</v>
      </c>
      <c r="Q30" s="106">
        <v>6041446.0099999998</v>
      </c>
      <c r="R30" s="106"/>
      <c r="S30" s="106"/>
      <c r="T30" s="106">
        <v>207412.63</v>
      </c>
      <c r="U30" s="106"/>
      <c r="V30" s="106"/>
      <c r="W30" s="106"/>
      <c r="X30" s="106"/>
      <c r="Y30" s="106"/>
      <c r="Z30" s="106"/>
      <c r="AA30" s="106"/>
      <c r="AB30" s="106"/>
      <c r="AC30" s="106">
        <v>720000</v>
      </c>
      <c r="AD30" s="106"/>
      <c r="AE30" s="106"/>
      <c r="AF30" s="106"/>
      <c r="AG30" s="106"/>
      <c r="AH30" s="106"/>
      <c r="AI30" s="106"/>
    </row>
    <row r="31" spans="1:35" ht="15.75" customHeight="1">
      <c r="A31" s="175" t="s">
        <v>348</v>
      </c>
      <c r="B31" s="106"/>
      <c r="C31" s="106"/>
      <c r="D31" s="106"/>
      <c r="E31" s="106"/>
      <c r="F31" s="106"/>
      <c r="G31" s="106">
        <v>446714.83</v>
      </c>
      <c r="H31" s="106"/>
      <c r="I31" s="106">
        <v>0</v>
      </c>
      <c r="J31" s="106"/>
      <c r="K31" s="106">
        <v>329309.52</v>
      </c>
      <c r="L31" s="106"/>
      <c r="M31" s="106"/>
      <c r="N31" s="106">
        <v>1585611.53</v>
      </c>
      <c r="O31" s="106"/>
      <c r="P31" s="106"/>
      <c r="Q31" s="106">
        <v>7514222.5999999996</v>
      </c>
      <c r="R31" s="106"/>
      <c r="S31" s="106"/>
      <c r="T31" s="106">
        <f>500000+331467.64</f>
        <v>831467.64</v>
      </c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</row>
    <row r="32" spans="1:35" ht="15.75" customHeight="1">
      <c r="A32" s="175" t="s">
        <v>349</v>
      </c>
      <c r="B32" s="106"/>
      <c r="C32" s="106"/>
      <c r="D32" s="106"/>
      <c r="E32" s="106"/>
      <c r="F32" s="106"/>
      <c r="G32" s="106"/>
      <c r="H32" s="106"/>
      <c r="I32" s="106">
        <v>0</v>
      </c>
      <c r="J32" s="106"/>
      <c r="K32" s="106"/>
      <c r="L32" s="106"/>
      <c r="M32" s="106"/>
      <c r="N32" s="106">
        <v>1634053.22</v>
      </c>
      <c r="O32" s="106"/>
      <c r="P32" s="106"/>
      <c r="Q32" s="106">
        <v>4063955.77</v>
      </c>
      <c r="R32" s="106"/>
      <c r="S32" s="106"/>
      <c r="T32" s="106">
        <v>992590.43</v>
      </c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</row>
    <row r="33" spans="1:35" ht="15.75" customHeight="1">
      <c r="A33" s="175" t="s">
        <v>350</v>
      </c>
      <c r="B33" s="106"/>
      <c r="C33" s="106"/>
      <c r="D33" s="106"/>
      <c r="E33" s="106"/>
      <c r="F33" s="106"/>
      <c r="G33" s="106"/>
      <c r="H33" s="106"/>
      <c r="I33" s="106">
        <v>0</v>
      </c>
      <c r="J33" s="106"/>
      <c r="K33" s="106"/>
      <c r="L33" s="106"/>
      <c r="M33" s="106"/>
      <c r="N33" s="106">
        <v>1708666.62</v>
      </c>
      <c r="O33" s="106"/>
      <c r="P33" s="106"/>
      <c r="Q33" s="106">
        <v>2500967.34</v>
      </c>
      <c r="R33" s="106"/>
      <c r="S33" s="106"/>
      <c r="T33" s="106">
        <v>275912.2</v>
      </c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</row>
    <row r="34" spans="1:35" ht="15.75" customHeight="1">
      <c r="A34" s="175" t="s">
        <v>351</v>
      </c>
      <c r="B34" s="106"/>
      <c r="C34" s="106"/>
      <c r="D34" s="106"/>
      <c r="E34" s="106"/>
      <c r="F34" s="106"/>
      <c r="G34" s="106"/>
      <c r="H34" s="106"/>
      <c r="I34" s="106">
        <v>228833.81</v>
      </c>
      <c r="J34" s="106"/>
      <c r="K34" s="106"/>
      <c r="L34" s="106"/>
      <c r="M34" s="106"/>
      <c r="N34" s="106">
        <v>1250322.1299999999</v>
      </c>
      <c r="O34" s="106"/>
      <c r="P34" s="106"/>
      <c r="Q34" s="106">
        <v>957491.32</v>
      </c>
      <c r="R34" s="106"/>
      <c r="S34" s="106"/>
      <c r="T34" s="106">
        <v>353580.67</v>
      </c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</row>
    <row r="35" spans="1:35" ht="15.75" customHeight="1">
      <c r="A35" s="175" t="s">
        <v>352</v>
      </c>
      <c r="B35" s="106"/>
      <c r="C35" s="106"/>
      <c r="D35" s="106"/>
      <c r="E35" s="106"/>
      <c r="F35" s="106"/>
      <c r="G35" s="106"/>
      <c r="H35" s="106"/>
      <c r="I35" s="106">
        <v>20533.39</v>
      </c>
      <c r="J35" s="106"/>
      <c r="K35" s="106"/>
      <c r="L35" s="106"/>
      <c r="M35" s="106"/>
      <c r="N35" s="106">
        <v>1288953.95</v>
      </c>
      <c r="O35" s="106"/>
      <c r="P35" s="106"/>
      <c r="Q35" s="106">
        <v>928341.04</v>
      </c>
      <c r="R35" s="106"/>
      <c r="S35" s="106"/>
      <c r="T35" s="106">
        <v>364950.93</v>
      </c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</row>
    <row r="36" spans="1:35" ht="15.75" customHeight="1">
      <c r="A36" s="175" t="s">
        <v>353</v>
      </c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>
        <v>1049891.5</v>
      </c>
      <c r="O36" s="106"/>
      <c r="P36" s="106"/>
      <c r="Q36" s="106">
        <v>547544.63</v>
      </c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</row>
    <row r="37" spans="1:35" ht="15.75" customHeight="1">
      <c r="A37" s="175" t="s">
        <v>354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>
        <v>2066796.34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</row>
    <row r="38" spans="1:35" ht="15.75" customHeight="1">
      <c r="A38" s="175" t="s">
        <v>355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>
        <v>1949699.46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</row>
    <row r="39" spans="1:35" ht="15.75" customHeight="1">
      <c r="A39" s="175" t="s">
        <v>356</v>
      </c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</row>
    <row r="40" spans="1:35" ht="15.75" customHeight="1">
      <c r="A40" s="175" t="s">
        <v>357</v>
      </c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</row>
    <row r="41" spans="1:35" ht="15.75" customHeight="1">
      <c r="A41" s="175" t="s">
        <v>358</v>
      </c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</row>
    <row r="42" spans="1:35" ht="15.75" customHeight="1">
      <c r="A42" s="299" t="s">
        <v>359</v>
      </c>
      <c r="B42" s="300"/>
      <c r="C42" s="300"/>
      <c r="D42" s="300"/>
      <c r="E42" s="300"/>
      <c r="F42" s="300"/>
      <c r="G42" s="300"/>
      <c r="H42" s="300"/>
      <c r="I42" s="300"/>
      <c r="J42" s="300"/>
      <c r="K42" s="302"/>
      <c r="L42" s="303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</row>
    <row r="43" spans="1:35" ht="15.75" customHeight="1">
      <c r="A43" s="175" t="s">
        <v>360</v>
      </c>
      <c r="B43" s="106">
        <v>10700774.279999999</v>
      </c>
      <c r="C43" s="106">
        <v>1975116</v>
      </c>
      <c r="D43" s="106">
        <v>2810467.52</v>
      </c>
      <c r="E43" s="106">
        <v>940033.52</v>
      </c>
      <c r="F43" s="106">
        <v>446890.25</v>
      </c>
      <c r="G43" s="106">
        <v>1991027.7</v>
      </c>
      <c r="H43" s="106">
        <v>525094.34</v>
      </c>
      <c r="I43" s="106">
        <v>231614.61</v>
      </c>
      <c r="J43" s="106">
        <v>1717889.65</v>
      </c>
      <c r="K43" s="106">
        <v>1436730.48</v>
      </c>
      <c r="L43" s="106">
        <v>1117215.47</v>
      </c>
      <c r="M43" s="106">
        <v>1131457.67</v>
      </c>
      <c r="N43" s="106">
        <v>558243.65</v>
      </c>
      <c r="O43" s="106">
        <v>1034132.75</v>
      </c>
      <c r="P43" s="106">
        <v>5010861.8099999996</v>
      </c>
      <c r="Q43" s="106">
        <v>3138872.61</v>
      </c>
      <c r="R43" s="106">
        <v>646540.85</v>
      </c>
      <c r="S43" s="106">
        <v>4395444.99</v>
      </c>
      <c r="T43" s="106"/>
      <c r="U43" s="106">
        <v>1026614.47</v>
      </c>
      <c r="V43" s="106">
        <v>1169063.33</v>
      </c>
      <c r="W43" s="106"/>
      <c r="X43" s="106">
        <v>2616695.19</v>
      </c>
      <c r="Y43" s="106">
        <v>1808391.3</v>
      </c>
      <c r="Z43" s="106">
        <v>2870683.16</v>
      </c>
      <c r="AA43" s="106">
        <v>1022347.85</v>
      </c>
      <c r="AB43" s="106">
        <v>439123.03399999999</v>
      </c>
      <c r="AC43" s="106">
        <v>2198555.9500000002</v>
      </c>
      <c r="AD43" s="106">
        <v>1373950</v>
      </c>
      <c r="AE43" s="106">
        <v>2899990.52</v>
      </c>
      <c r="AF43" s="106">
        <v>1617620.03</v>
      </c>
      <c r="AG43" s="106">
        <f t="shared" ref="AG43:AG50" si="14">AG22*0.8</f>
        <v>465683.35199999996</v>
      </c>
      <c r="AH43" s="106">
        <f t="shared" ref="AH43:AH54" si="15">AH22</f>
        <v>773699.53</v>
      </c>
      <c r="AI43" s="106"/>
    </row>
    <row r="44" spans="1:35" ht="15.75" customHeight="1">
      <c r="A44" s="175" t="s">
        <v>361</v>
      </c>
      <c r="B44" s="106">
        <v>14711305.189999999</v>
      </c>
      <c r="C44" s="106">
        <v>2208544</v>
      </c>
      <c r="D44" s="106">
        <v>3142362.19</v>
      </c>
      <c r="E44" s="106">
        <v>590825.06000000006</v>
      </c>
      <c r="F44" s="106">
        <v>1128531.8700000001</v>
      </c>
      <c r="G44" s="106">
        <v>3772421.73</v>
      </c>
      <c r="H44" s="106">
        <v>1379452.38</v>
      </c>
      <c r="I44" s="106">
        <v>45553.440000000002</v>
      </c>
      <c r="J44" s="106">
        <v>1202252.69</v>
      </c>
      <c r="K44" s="106">
        <v>1596107.45</v>
      </c>
      <c r="L44" s="106">
        <v>613034.98</v>
      </c>
      <c r="M44" s="106">
        <v>2343707.77</v>
      </c>
      <c r="N44" s="106">
        <v>1249320.81</v>
      </c>
      <c r="O44" s="106">
        <v>1064288.4099999999</v>
      </c>
      <c r="P44" s="106">
        <v>7744143.5</v>
      </c>
      <c r="Q44" s="106">
        <v>2318816.29</v>
      </c>
      <c r="R44" s="106">
        <v>1024258.39</v>
      </c>
      <c r="S44" s="106">
        <v>6933385.4100000001</v>
      </c>
      <c r="T44" s="106"/>
      <c r="U44" s="106">
        <v>1756065.11</v>
      </c>
      <c r="V44" s="106"/>
      <c r="W44" s="106"/>
      <c r="X44" s="106"/>
      <c r="Y44" s="106">
        <v>1606907.01</v>
      </c>
      <c r="Z44" s="106">
        <v>1243811.8400000001</v>
      </c>
      <c r="AA44" s="106">
        <v>988089.78</v>
      </c>
      <c r="AB44" s="106">
        <v>1347244.5</v>
      </c>
      <c r="AC44" s="106">
        <v>3332727.63</v>
      </c>
      <c r="AD44" s="106"/>
      <c r="AE44" s="106">
        <v>1189270.56</v>
      </c>
      <c r="AF44" s="106">
        <v>542684.43000000005</v>
      </c>
      <c r="AG44" s="106">
        <f t="shared" si="14"/>
        <v>490805.33</v>
      </c>
      <c r="AH44" s="106">
        <f t="shared" si="15"/>
        <v>538442.26</v>
      </c>
      <c r="AI44" s="106"/>
    </row>
    <row r="45" spans="1:35" ht="15.75" customHeight="1">
      <c r="A45" s="175" t="s">
        <v>362</v>
      </c>
      <c r="B45" s="106">
        <v>13804801.85</v>
      </c>
      <c r="C45" s="106">
        <v>4625816</v>
      </c>
      <c r="D45" s="106">
        <v>595453.11</v>
      </c>
      <c r="E45" s="106"/>
      <c r="F45" s="106">
        <v>247335.97</v>
      </c>
      <c r="G45" s="106">
        <v>5513516.7300000004</v>
      </c>
      <c r="H45" s="106">
        <v>1154845.7</v>
      </c>
      <c r="I45" s="106">
        <v>786905.55</v>
      </c>
      <c r="J45" s="106">
        <v>615412.57999999996</v>
      </c>
      <c r="K45" s="106">
        <v>2102654.0299999998</v>
      </c>
      <c r="L45" s="106">
        <v>451625.04</v>
      </c>
      <c r="M45" s="106">
        <v>3192049.16</v>
      </c>
      <c r="N45" s="106">
        <v>1741703.84</v>
      </c>
      <c r="O45" s="106">
        <v>1533114.63</v>
      </c>
      <c r="P45" s="106">
        <v>1405741.75</v>
      </c>
      <c r="Q45" s="106">
        <v>1803590.66</v>
      </c>
      <c r="R45" s="106">
        <v>324228.36</v>
      </c>
      <c r="S45" s="106">
        <v>823089.6</v>
      </c>
      <c r="T45" s="106"/>
      <c r="U45" s="106">
        <v>1456615.66</v>
      </c>
      <c r="V45" s="106"/>
      <c r="W45" s="106"/>
      <c r="X45" s="106"/>
      <c r="Y45" s="106">
        <v>0</v>
      </c>
      <c r="Z45" s="106"/>
      <c r="AA45" s="106">
        <v>154650</v>
      </c>
      <c r="AB45" s="106">
        <v>663660.44999999995</v>
      </c>
      <c r="AC45" s="106">
        <v>6091713.9199999999</v>
      </c>
      <c r="AD45" s="106"/>
      <c r="AE45" s="106">
        <v>2445192.54</v>
      </c>
      <c r="AF45" s="106">
        <v>536041.07999999996</v>
      </c>
      <c r="AG45" s="106">
        <f t="shared" si="14"/>
        <v>293927.67200000002</v>
      </c>
      <c r="AH45" s="106">
        <f t="shared" si="15"/>
        <v>1438998.23</v>
      </c>
      <c r="AI45" s="106"/>
    </row>
    <row r="46" spans="1:35" ht="15.75" customHeight="1">
      <c r="A46" s="175" t="s">
        <v>363</v>
      </c>
      <c r="B46" s="106">
        <v>6746855.3300000001</v>
      </c>
      <c r="C46" s="106">
        <v>1155128</v>
      </c>
      <c r="D46" s="106">
        <v>3255283.84</v>
      </c>
      <c r="E46" s="106"/>
      <c r="F46" s="106">
        <v>105619.04</v>
      </c>
      <c r="G46" s="106">
        <v>6432068.8200000003</v>
      </c>
      <c r="H46" s="106">
        <v>147522.68</v>
      </c>
      <c r="I46" s="106">
        <v>286450.57</v>
      </c>
      <c r="J46" s="106">
        <v>636548.66</v>
      </c>
      <c r="K46" s="106">
        <v>1439251.12</v>
      </c>
      <c r="L46" s="106">
        <v>0</v>
      </c>
      <c r="M46" s="106">
        <v>2241216.89</v>
      </c>
      <c r="N46" s="106">
        <v>1969721.27</v>
      </c>
      <c r="O46" s="106">
        <v>1501680.63</v>
      </c>
      <c r="P46" s="106">
        <v>2763551.13</v>
      </c>
      <c r="Q46" s="106">
        <v>0</v>
      </c>
      <c r="R46" s="106"/>
      <c r="S46" s="176">
        <v>13765350.130000001</v>
      </c>
      <c r="T46" s="106">
        <v>239629</v>
      </c>
      <c r="U46" s="106">
        <v>1179477.98</v>
      </c>
      <c r="V46" s="106"/>
      <c r="W46" s="106"/>
      <c r="X46" s="106"/>
      <c r="Y46" s="106">
        <v>72605.83</v>
      </c>
      <c r="Z46" s="106"/>
      <c r="AA46" s="106"/>
      <c r="AB46" s="106">
        <v>37941.230000000003</v>
      </c>
      <c r="AC46" s="106">
        <v>0</v>
      </c>
      <c r="AD46" s="106"/>
      <c r="AE46" s="106"/>
      <c r="AF46" s="106">
        <v>1072406.8799999999</v>
      </c>
      <c r="AG46" s="106">
        <f t="shared" si="14"/>
        <v>108463.08799999999</v>
      </c>
      <c r="AH46" s="106">
        <f t="shared" si="15"/>
        <v>2343775.71</v>
      </c>
      <c r="AI46" s="106"/>
    </row>
    <row r="47" spans="1:35" ht="15.75" customHeight="1">
      <c r="A47" s="175" t="s">
        <v>364</v>
      </c>
      <c r="B47" s="106">
        <v>893900.99</v>
      </c>
      <c r="C47" s="106">
        <v>435396</v>
      </c>
      <c r="D47" s="106">
        <v>1961932.02</v>
      </c>
      <c r="E47" s="106"/>
      <c r="F47" s="106"/>
      <c r="G47" s="106">
        <v>6529645.4900000002</v>
      </c>
      <c r="H47" s="106">
        <v>16911.46</v>
      </c>
      <c r="I47" s="106">
        <v>616719.43000000005</v>
      </c>
      <c r="J47" s="106">
        <v>1180322.7</v>
      </c>
      <c r="K47" s="106">
        <v>351511.89</v>
      </c>
      <c r="L47" s="106">
        <v>1270523.22</v>
      </c>
      <c r="M47" s="106">
        <v>202526.64</v>
      </c>
      <c r="N47" s="106">
        <v>1544843.91</v>
      </c>
      <c r="O47" s="106">
        <v>328998.44</v>
      </c>
      <c r="P47" s="106">
        <v>6174067.0899999999</v>
      </c>
      <c r="Q47" s="106">
        <v>0</v>
      </c>
      <c r="R47" s="106"/>
      <c r="S47" s="106">
        <v>3439032.37</v>
      </c>
      <c r="T47" s="106">
        <v>84690.52</v>
      </c>
      <c r="U47" s="106">
        <v>1125159.1000000001</v>
      </c>
      <c r="V47" s="106"/>
      <c r="W47" s="106"/>
      <c r="X47" s="106"/>
      <c r="Y47" s="106"/>
      <c r="Z47" s="106"/>
      <c r="AA47" s="106"/>
      <c r="AB47" s="106"/>
      <c r="AC47" s="106">
        <v>0</v>
      </c>
      <c r="AD47" s="106"/>
      <c r="AE47" s="106"/>
      <c r="AF47" s="106">
        <v>694740.38</v>
      </c>
      <c r="AG47" s="106">
        <f t="shared" si="14"/>
        <v>198638.62400000001</v>
      </c>
      <c r="AH47" s="106">
        <f t="shared" si="15"/>
        <v>328998.40000000002</v>
      </c>
      <c r="AI47" s="106"/>
    </row>
    <row r="48" spans="1:35" ht="15.75" customHeight="1">
      <c r="A48" s="175" t="s">
        <v>365</v>
      </c>
      <c r="B48" s="106">
        <v>0</v>
      </c>
      <c r="C48" s="106"/>
      <c r="D48" s="106">
        <v>2736726.52</v>
      </c>
      <c r="E48" s="106"/>
      <c r="F48" s="106"/>
      <c r="G48" s="106">
        <v>1375399.68</v>
      </c>
      <c r="H48" s="106"/>
      <c r="I48" s="106">
        <v>662979.96</v>
      </c>
      <c r="J48" s="106">
        <v>1202875.67</v>
      </c>
      <c r="K48" s="106">
        <v>0</v>
      </c>
      <c r="L48" s="106">
        <v>419804.08</v>
      </c>
      <c r="M48" s="106">
        <v>1137466.45</v>
      </c>
      <c r="N48" s="106">
        <v>1680366.56</v>
      </c>
      <c r="O48" s="106"/>
      <c r="P48" s="106">
        <v>1942412.23</v>
      </c>
      <c r="Q48" s="106">
        <v>0</v>
      </c>
      <c r="R48" s="106"/>
      <c r="S48" s="106">
        <v>2241452.08</v>
      </c>
      <c r="T48" s="106">
        <v>76624.759999999995</v>
      </c>
      <c r="U48" s="106">
        <v>849228.35</v>
      </c>
      <c r="V48" s="106"/>
      <c r="W48" s="106"/>
      <c r="X48" s="106"/>
      <c r="Y48" s="106"/>
      <c r="Z48" s="106"/>
      <c r="AA48" s="106"/>
      <c r="AB48" s="106"/>
      <c r="AC48" s="106">
        <v>0</v>
      </c>
      <c r="AD48" s="106"/>
      <c r="AE48" s="106"/>
      <c r="AF48" s="106"/>
      <c r="AG48" s="106">
        <f t="shared" si="14"/>
        <v>49131.4</v>
      </c>
      <c r="AH48" s="106">
        <f t="shared" si="15"/>
        <v>0</v>
      </c>
      <c r="AI48" s="106"/>
    </row>
    <row r="49" spans="1:35" ht="15.75" customHeight="1">
      <c r="A49" s="175" t="s">
        <v>366</v>
      </c>
      <c r="B49" s="106">
        <v>131009.68</v>
      </c>
      <c r="C49" s="106"/>
      <c r="D49" s="106">
        <v>68877.17</v>
      </c>
      <c r="E49" s="106"/>
      <c r="F49" s="106"/>
      <c r="G49" s="106">
        <v>7211913.2800000003</v>
      </c>
      <c r="H49" s="106"/>
      <c r="I49" s="106">
        <v>624039.32999999996</v>
      </c>
      <c r="J49" s="106">
        <v>910699.58</v>
      </c>
      <c r="K49" s="106">
        <v>0</v>
      </c>
      <c r="L49" s="106"/>
      <c r="M49" s="106"/>
      <c r="N49" s="106">
        <v>2930113.15</v>
      </c>
      <c r="O49" s="106"/>
      <c r="P49" s="106">
        <v>3257418.69</v>
      </c>
      <c r="Q49" s="106">
        <v>0</v>
      </c>
      <c r="R49" s="106"/>
      <c r="S49" s="106"/>
      <c r="T49" s="106">
        <v>141903.17000000001</v>
      </c>
      <c r="U49" s="106">
        <v>602948</v>
      </c>
      <c r="V49" s="106"/>
      <c r="W49" s="106"/>
      <c r="X49" s="106"/>
      <c r="Y49" s="106"/>
      <c r="Z49" s="106"/>
      <c r="AA49" s="106"/>
      <c r="AB49" s="106"/>
      <c r="AC49" s="106">
        <v>0</v>
      </c>
      <c r="AD49" s="106"/>
      <c r="AE49" s="106"/>
      <c r="AF49" s="106"/>
      <c r="AG49" s="106">
        <f t="shared" si="14"/>
        <v>147641.37</v>
      </c>
      <c r="AH49" s="106">
        <f t="shared" si="15"/>
        <v>0</v>
      </c>
      <c r="AI49" s="106"/>
    </row>
    <row r="50" spans="1:35" ht="15.75" customHeight="1">
      <c r="A50" s="175" t="s">
        <v>367</v>
      </c>
      <c r="B50" s="106"/>
      <c r="C50" s="106"/>
      <c r="D50" s="106">
        <v>5187848.38</v>
      </c>
      <c r="E50" s="106"/>
      <c r="F50" s="106"/>
      <c r="G50" s="106">
        <v>4907097.13</v>
      </c>
      <c r="H50" s="106"/>
      <c r="I50" s="106">
        <v>212487.38</v>
      </c>
      <c r="J50" s="106">
        <v>1402339.08</v>
      </c>
      <c r="K50" s="106">
        <v>0</v>
      </c>
      <c r="L50" s="106"/>
      <c r="M50" s="106"/>
      <c r="N50" s="106">
        <v>2890551.14</v>
      </c>
      <c r="O50" s="106"/>
      <c r="P50" s="106">
        <v>836966.27</v>
      </c>
      <c r="Q50" s="106">
        <v>0</v>
      </c>
      <c r="R50" s="106"/>
      <c r="S50" s="106"/>
      <c r="T50" s="106">
        <v>116273.7</v>
      </c>
      <c r="U50" s="106"/>
      <c r="V50" s="106"/>
      <c r="W50" s="106"/>
      <c r="X50" s="106"/>
      <c r="Y50" s="106"/>
      <c r="Z50" s="106"/>
      <c r="AA50" s="106"/>
      <c r="AB50" s="106"/>
      <c r="AC50" s="106">
        <v>944858.12</v>
      </c>
      <c r="AD50" s="106"/>
      <c r="AE50" s="106"/>
      <c r="AF50" s="106"/>
      <c r="AG50" s="106">
        <f t="shared" si="14"/>
        <v>91971.28</v>
      </c>
      <c r="AH50" s="106">
        <f t="shared" si="15"/>
        <v>0</v>
      </c>
      <c r="AI50" s="106"/>
    </row>
    <row r="51" spans="1:35" ht="15.75" customHeight="1">
      <c r="A51" s="175" t="s">
        <v>368</v>
      </c>
      <c r="B51" s="106"/>
      <c r="C51" s="106"/>
      <c r="D51" s="106">
        <v>279625.59146742593</v>
      </c>
      <c r="E51" s="106"/>
      <c r="F51" s="106"/>
      <c r="G51" s="106">
        <v>2985633.06</v>
      </c>
      <c r="H51" s="106"/>
      <c r="I51" s="106">
        <v>98357.33</v>
      </c>
      <c r="J51" s="106">
        <v>915365.68</v>
      </c>
      <c r="K51" s="106">
        <v>314435.5</v>
      </c>
      <c r="L51" s="106"/>
      <c r="M51" s="106"/>
      <c r="N51" s="106">
        <v>1409557.84</v>
      </c>
      <c r="O51" s="106"/>
      <c r="P51" s="106">
        <v>71210.19</v>
      </c>
      <c r="Q51" s="106">
        <v>4712372.93</v>
      </c>
      <c r="R51" s="106"/>
      <c r="S51" s="106"/>
      <c r="T51" s="106">
        <v>207412.63</v>
      </c>
      <c r="U51" s="106"/>
      <c r="V51" s="106"/>
      <c r="W51" s="106"/>
      <c r="X51" s="106"/>
      <c r="Y51" s="106"/>
      <c r="Z51" s="106"/>
      <c r="AA51" s="106"/>
      <c r="AB51" s="106"/>
      <c r="AC51" s="106">
        <v>720000</v>
      </c>
      <c r="AD51" s="106"/>
      <c r="AE51" s="106"/>
      <c r="AF51" s="106"/>
      <c r="AG51" s="106"/>
      <c r="AH51" s="106">
        <f t="shared" si="15"/>
        <v>0</v>
      </c>
      <c r="AI51" s="106"/>
    </row>
    <row r="52" spans="1:35" ht="15.75" customHeight="1">
      <c r="A52" s="175" t="s">
        <v>369</v>
      </c>
      <c r="B52" s="106"/>
      <c r="C52" s="106"/>
      <c r="D52" s="106"/>
      <c r="E52" s="106"/>
      <c r="F52" s="106"/>
      <c r="G52" s="106">
        <v>446714.83</v>
      </c>
      <c r="H52" s="106"/>
      <c r="I52" s="106">
        <v>0</v>
      </c>
      <c r="J52" s="106">
        <v>1784142.89</v>
      </c>
      <c r="K52" s="106">
        <v>329309.52</v>
      </c>
      <c r="L52" s="106"/>
      <c r="M52" s="106"/>
      <c r="N52" s="106">
        <v>1585611.53</v>
      </c>
      <c r="O52" s="106"/>
      <c r="P52" s="106"/>
      <c r="Q52" s="106">
        <v>5861093.6799999997</v>
      </c>
      <c r="R52" s="106"/>
      <c r="S52" s="106"/>
      <c r="T52" s="106">
        <v>831467.64</v>
      </c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>
        <f t="shared" si="15"/>
        <v>0</v>
      </c>
      <c r="AI52" s="106"/>
    </row>
    <row r="53" spans="1:35" ht="15.75" customHeight="1">
      <c r="A53" s="175" t="s">
        <v>370</v>
      </c>
      <c r="B53" s="106"/>
      <c r="C53" s="106"/>
      <c r="D53" s="106"/>
      <c r="E53" s="106"/>
      <c r="F53" s="106"/>
      <c r="G53" s="106"/>
      <c r="H53" s="106"/>
      <c r="I53" s="106">
        <v>0</v>
      </c>
      <c r="J53" s="106">
        <v>690118.23</v>
      </c>
      <c r="K53" s="106"/>
      <c r="L53" s="106"/>
      <c r="M53" s="106"/>
      <c r="N53" s="106">
        <v>1634053.22</v>
      </c>
      <c r="O53" s="106"/>
      <c r="P53" s="106"/>
      <c r="Q53" s="106">
        <v>3169885.53</v>
      </c>
      <c r="R53" s="106"/>
      <c r="S53" s="106"/>
      <c r="T53" s="106">
        <v>992590.43</v>
      </c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>
        <f t="shared" si="15"/>
        <v>0</v>
      </c>
      <c r="AI53" s="106"/>
    </row>
    <row r="54" spans="1:35" ht="15.75" customHeight="1">
      <c r="A54" s="175" t="s">
        <v>371</v>
      </c>
      <c r="B54" s="106"/>
      <c r="C54" s="106"/>
      <c r="D54" s="106"/>
      <c r="E54" s="106"/>
      <c r="F54" s="106"/>
      <c r="G54" s="106"/>
      <c r="H54" s="106"/>
      <c r="I54" s="106">
        <v>0</v>
      </c>
      <c r="J54" s="106"/>
      <c r="K54" s="106"/>
      <c r="L54" s="106"/>
      <c r="M54" s="106"/>
      <c r="N54" s="106">
        <v>1708666.62</v>
      </c>
      <c r="O54" s="106"/>
      <c r="P54" s="106"/>
      <c r="Q54" s="106">
        <v>1950754.54</v>
      </c>
      <c r="R54" s="106"/>
      <c r="S54" s="106"/>
      <c r="T54" s="106">
        <v>262116.59</v>
      </c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>
        <f t="shared" si="15"/>
        <v>0</v>
      </c>
      <c r="AI54" s="106"/>
    </row>
    <row r="55" spans="1:35" ht="15.75" customHeight="1">
      <c r="A55" s="175" t="s">
        <v>372</v>
      </c>
      <c r="B55" s="106"/>
      <c r="C55" s="106"/>
      <c r="D55" s="106"/>
      <c r="E55" s="106"/>
      <c r="F55" s="106"/>
      <c r="G55" s="106"/>
      <c r="H55" s="106"/>
      <c r="I55" s="106">
        <v>228833.81</v>
      </c>
      <c r="J55" s="106"/>
      <c r="K55" s="106"/>
      <c r="L55" s="106"/>
      <c r="M55" s="106"/>
      <c r="N55" s="106">
        <v>1250322.1299999999</v>
      </c>
      <c r="O55" s="106"/>
      <c r="P55" s="106"/>
      <c r="Q55" s="106">
        <v>746843.24</v>
      </c>
      <c r="R55" s="106"/>
      <c r="S55" s="106"/>
      <c r="T55" s="106">
        <v>335901.64</v>
      </c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</row>
    <row r="56" spans="1:35" ht="15.75" customHeight="1">
      <c r="A56" s="175" t="s">
        <v>373</v>
      </c>
      <c r="B56" s="106"/>
      <c r="C56" s="106"/>
      <c r="D56" s="106"/>
      <c r="E56" s="106"/>
      <c r="F56" s="106"/>
      <c r="G56" s="106"/>
      <c r="H56" s="106"/>
      <c r="I56" s="106">
        <v>20533.39</v>
      </c>
      <c r="J56" s="106"/>
      <c r="K56" s="106"/>
      <c r="L56" s="106"/>
      <c r="M56" s="106"/>
      <c r="N56" s="106">
        <v>1288953.95</v>
      </c>
      <c r="O56" s="106"/>
      <c r="P56" s="106"/>
      <c r="Q56" s="106">
        <v>724106.02</v>
      </c>
      <c r="R56" s="106"/>
      <c r="S56" s="106"/>
      <c r="T56" s="106">
        <v>346703.38</v>
      </c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</row>
    <row r="57" spans="1:35" ht="15.75" customHeight="1">
      <c r="A57" s="175" t="s">
        <v>374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>
        <v>1049891.5</v>
      </c>
      <c r="O57" s="106"/>
      <c r="P57" s="106"/>
      <c r="Q57" s="106">
        <v>427084.12</v>
      </c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</row>
    <row r="58" spans="1:35" ht="15.75" customHeight="1">
      <c r="A58" s="175" t="s">
        <v>375</v>
      </c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>
        <v>2066796.34</v>
      </c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</row>
    <row r="59" spans="1:35" ht="15.75" customHeight="1">
      <c r="A59" s="175" t="s">
        <v>376</v>
      </c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>
        <v>1949699.46</v>
      </c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</row>
    <row r="60" spans="1:35" ht="15.75" customHeight="1">
      <c r="A60" s="175" t="s">
        <v>377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</row>
    <row r="61" spans="1:35" ht="15.75" customHeight="1">
      <c r="A61" s="175" t="s">
        <v>378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</row>
    <row r="62" spans="1:35" ht="15.75" customHeight="1">
      <c r="A62" s="175" t="s">
        <v>379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</row>
    <row r="63" spans="1:35" ht="15.75" customHeight="1">
      <c r="A63" s="175" t="s">
        <v>380</v>
      </c>
      <c r="B63" s="300"/>
      <c r="C63" s="300"/>
      <c r="D63" s="300"/>
      <c r="E63" s="300"/>
      <c r="F63" s="300"/>
      <c r="G63" s="300"/>
      <c r="H63" s="300"/>
      <c r="I63" s="300"/>
      <c r="J63" s="300"/>
      <c r="K63" s="302"/>
      <c r="L63" s="303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</row>
    <row r="64" spans="1:35" ht="15.75" customHeight="1">
      <c r="A64" s="175" t="s">
        <v>381</v>
      </c>
      <c r="B64" s="106"/>
      <c r="C64" s="106">
        <v>18304.62</v>
      </c>
      <c r="D64" s="106"/>
      <c r="E64" s="106"/>
      <c r="F64" s="106"/>
      <c r="G64" s="106"/>
      <c r="H64" s="106"/>
      <c r="I64" s="106"/>
      <c r="J64" s="106"/>
      <c r="K64" s="295">
        <v>148964.23000000001</v>
      </c>
      <c r="L64" s="160">
        <v>359065.59999999998</v>
      </c>
      <c r="M64" s="106"/>
      <c r="N64" s="106"/>
      <c r="O64" s="106"/>
      <c r="P64" s="106"/>
      <c r="Q64" s="106"/>
      <c r="R64" s="106">
        <v>79912.45</v>
      </c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>
        <v>662910.68000000005</v>
      </c>
      <c r="AF64" s="106"/>
      <c r="AG64" s="106">
        <v>531770.68000000005</v>
      </c>
      <c r="AH64" s="106"/>
      <c r="AI64" s="106"/>
    </row>
    <row r="65" spans="1:35" ht="15.75" customHeight="1">
      <c r="A65" s="175" t="s">
        <v>382</v>
      </c>
      <c r="B65" s="106"/>
      <c r="C65" s="106">
        <v>39686.51</v>
      </c>
      <c r="D65" s="106"/>
      <c r="E65" s="106"/>
      <c r="F65" s="106"/>
      <c r="G65" s="106">
        <v>729403.52</v>
      </c>
      <c r="H65" s="106"/>
      <c r="I65" s="106"/>
      <c r="J65" s="106"/>
      <c r="K65" s="295">
        <v>307946.59000000003</v>
      </c>
      <c r="L65" s="160">
        <v>209315.77</v>
      </c>
      <c r="M65" s="106">
        <v>772832.93</v>
      </c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>
        <v>262163.87</v>
      </c>
      <c r="AF65" s="106"/>
      <c r="AG65" s="106"/>
      <c r="AH65" s="106"/>
      <c r="AI65" s="106"/>
    </row>
    <row r="66" spans="1:35" ht="15.75" customHeight="1">
      <c r="A66" s="175" t="s">
        <v>383</v>
      </c>
      <c r="B66" s="106"/>
      <c r="C66" s="106">
        <v>634263.93000000005</v>
      </c>
      <c r="D66" s="106"/>
      <c r="E66" s="106"/>
      <c r="F66" s="106"/>
      <c r="G66" s="106">
        <v>1215192.5</v>
      </c>
      <c r="H66" s="106"/>
      <c r="I66" s="106"/>
      <c r="J66" s="106"/>
      <c r="K66" s="295">
        <v>443195.75</v>
      </c>
      <c r="L66" s="160">
        <v>197418.19</v>
      </c>
      <c r="M66" s="106">
        <v>941291.72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>
        <v>621299.54</v>
      </c>
      <c r="AF66" s="106"/>
      <c r="AG66" s="106"/>
      <c r="AH66" s="106"/>
      <c r="AI66" s="106"/>
    </row>
    <row r="67" spans="1:35" ht="15.75" customHeight="1">
      <c r="A67" s="175" t="s">
        <v>384</v>
      </c>
      <c r="B67" s="106"/>
      <c r="C67" s="106">
        <v>177023.49</v>
      </c>
      <c r="D67" s="106"/>
      <c r="E67" s="106"/>
      <c r="F67" s="106"/>
      <c r="G67" s="106">
        <v>1474759.72</v>
      </c>
      <c r="H67" s="106"/>
      <c r="I67" s="106">
        <v>103980</v>
      </c>
      <c r="J67" s="106"/>
      <c r="K67" s="295">
        <v>358194.73</v>
      </c>
      <c r="L67" s="160">
        <v>0</v>
      </c>
      <c r="M67" s="106">
        <v>681334.91</v>
      </c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</row>
    <row r="68" spans="1:35" ht="15.75" customHeight="1">
      <c r="A68" s="175" t="s">
        <v>385</v>
      </c>
      <c r="B68" s="106">
        <v>173803.63</v>
      </c>
      <c r="C68" s="106">
        <v>103046.37</v>
      </c>
      <c r="D68" s="106">
        <v>486000.41</v>
      </c>
      <c r="E68" s="106"/>
      <c r="F68" s="106"/>
      <c r="G68" s="106">
        <v>1847805.94</v>
      </c>
      <c r="H68" s="106"/>
      <c r="I68" s="106">
        <v>238245.35</v>
      </c>
      <c r="J68" s="106"/>
      <c r="K68" s="295">
        <v>0</v>
      </c>
      <c r="L68" s="160">
        <v>870949.37</v>
      </c>
      <c r="M68" s="106">
        <v>135334.35999999999</v>
      </c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</row>
    <row r="69" spans="1:35" ht="15.75" customHeight="1">
      <c r="A69" s="175" t="s">
        <v>386</v>
      </c>
      <c r="B69" s="106"/>
      <c r="C69" s="106"/>
      <c r="D69" s="106">
        <v>648640.18000000005</v>
      </c>
      <c r="E69" s="106"/>
      <c r="F69" s="106"/>
      <c r="G69" s="106"/>
      <c r="H69" s="106"/>
      <c r="I69" s="106">
        <v>196211.36</v>
      </c>
      <c r="J69" s="106">
        <v>877895.96</v>
      </c>
      <c r="K69" s="295">
        <v>0</v>
      </c>
      <c r="L69" s="160">
        <v>287614.63</v>
      </c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</row>
    <row r="70" spans="1:35" ht="15.75" customHeight="1">
      <c r="A70" s="175" t="s">
        <v>387</v>
      </c>
      <c r="B70" s="106"/>
      <c r="C70" s="106"/>
      <c r="D70" s="106">
        <v>21589.15</v>
      </c>
      <c r="E70" s="106"/>
      <c r="F70" s="106"/>
      <c r="G70" s="106">
        <v>2570179</v>
      </c>
      <c r="H70" s="106"/>
      <c r="I70" s="106">
        <v>203598.82</v>
      </c>
      <c r="J70" s="106">
        <v>711056.88</v>
      </c>
      <c r="K70" s="295">
        <v>0</v>
      </c>
      <c r="L70" s="160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</row>
    <row r="71" spans="1:35" ht="15.75" customHeight="1">
      <c r="A71" s="175" t="s">
        <v>388</v>
      </c>
      <c r="B71" s="106"/>
      <c r="C71" s="106"/>
      <c r="D71" s="106">
        <v>1463788.74</v>
      </c>
      <c r="E71" s="106"/>
      <c r="F71" s="106"/>
      <c r="G71" s="106">
        <v>1892323.91</v>
      </c>
      <c r="H71" s="106"/>
      <c r="I71" s="106"/>
      <c r="J71" s="106">
        <v>1085131.6599999999</v>
      </c>
      <c r="K71" s="295">
        <v>0</v>
      </c>
      <c r="L71" s="160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>
        <v>234037.43</v>
      </c>
      <c r="AD71" s="106"/>
      <c r="AE71" s="106"/>
      <c r="AF71" s="106"/>
      <c r="AG71" s="106"/>
      <c r="AH71" s="106"/>
      <c r="AI71" s="106"/>
    </row>
    <row r="72" spans="1:35" ht="15.75" customHeight="1">
      <c r="A72" s="175" t="s">
        <v>389</v>
      </c>
      <c r="B72" s="106"/>
      <c r="C72" s="106"/>
      <c r="D72" s="106">
        <v>64128.93</v>
      </c>
      <c r="E72" s="106"/>
      <c r="F72" s="106"/>
      <c r="G72" s="106">
        <v>1342204.38</v>
      </c>
      <c r="H72" s="106"/>
      <c r="I72" s="106"/>
      <c r="J72" s="106">
        <v>707390.32</v>
      </c>
      <c r="K72" s="295">
        <v>0</v>
      </c>
      <c r="L72" s="160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</row>
    <row r="73" spans="1:35" ht="15.75" customHeight="1">
      <c r="A73" s="175" t="s">
        <v>390</v>
      </c>
      <c r="B73" s="106"/>
      <c r="C73" s="106"/>
      <c r="D73" s="106"/>
      <c r="E73" s="106"/>
      <c r="F73" s="106"/>
      <c r="G73" s="106"/>
      <c r="H73" s="106"/>
      <c r="I73" s="106"/>
      <c r="J73" s="106">
        <v>1392577.4</v>
      </c>
      <c r="K73" s="295"/>
      <c r="L73" s="160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</row>
    <row r="74" spans="1:35" ht="15.75" customHeight="1">
      <c r="A74" s="175" t="s">
        <v>391</v>
      </c>
      <c r="B74" s="106"/>
      <c r="C74" s="106"/>
      <c r="D74" s="106"/>
      <c r="E74" s="106"/>
      <c r="F74" s="106"/>
      <c r="G74" s="106"/>
      <c r="H74" s="106"/>
      <c r="I74" s="106"/>
      <c r="J74" s="106">
        <v>529034.48</v>
      </c>
      <c r="K74" s="295"/>
      <c r="L74" s="160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</row>
    <row r="75" spans="1:35" ht="15.75" customHeight="1">
      <c r="A75" s="175" t="s">
        <v>392</v>
      </c>
      <c r="B75" s="106"/>
      <c r="C75" s="106"/>
      <c r="D75" s="106"/>
      <c r="E75" s="106"/>
      <c r="F75" s="106"/>
      <c r="G75" s="106"/>
      <c r="H75" s="106"/>
      <c r="I75" s="106"/>
      <c r="J75" s="106"/>
      <c r="K75" s="295"/>
      <c r="L75" s="160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</row>
    <row r="76" spans="1:35" ht="15.75" customHeight="1">
      <c r="A76" s="175" t="s">
        <v>393</v>
      </c>
      <c r="B76" s="106"/>
      <c r="C76" s="106"/>
      <c r="D76" s="106"/>
      <c r="E76" s="106"/>
      <c r="F76" s="106"/>
      <c r="G76" s="106"/>
      <c r="H76" s="106"/>
      <c r="I76" s="106">
        <v>153798.20000000001</v>
      </c>
      <c r="J76" s="106"/>
      <c r="K76" s="295"/>
      <c r="L76" s="160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</row>
    <row r="77" spans="1:35" ht="15.75" customHeight="1">
      <c r="A77" s="175" t="s">
        <v>394</v>
      </c>
      <c r="B77" s="106"/>
      <c r="C77" s="106"/>
      <c r="D77" s="106"/>
      <c r="E77" s="106"/>
      <c r="F77" s="106"/>
      <c r="G77" s="106"/>
      <c r="H77" s="106"/>
      <c r="I77" s="106">
        <v>14802.56</v>
      </c>
      <c r="J77" s="106"/>
      <c r="K77" s="295"/>
      <c r="L77" s="160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</row>
    <row r="78" spans="1:35" ht="15.75" customHeight="1">
      <c r="A78" s="175" t="s">
        <v>395</v>
      </c>
      <c r="B78" s="106"/>
      <c r="C78" s="106"/>
      <c r="D78" s="106"/>
      <c r="E78" s="106"/>
      <c r="F78" s="106"/>
      <c r="G78" s="106"/>
      <c r="H78" s="106"/>
      <c r="I78" s="106"/>
      <c r="J78" s="106"/>
      <c r="K78" s="295"/>
      <c r="L78" s="160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</row>
    <row r="79" spans="1:35" ht="15.75" customHeight="1">
      <c r="A79" s="175" t="s">
        <v>396</v>
      </c>
      <c r="B79" s="106"/>
      <c r="C79" s="106"/>
      <c r="D79" s="106"/>
      <c r="E79" s="106"/>
      <c r="F79" s="106"/>
      <c r="G79" s="106"/>
      <c r="H79" s="106"/>
      <c r="I79" s="106"/>
      <c r="J79" s="106"/>
      <c r="K79" s="295"/>
      <c r="L79" s="160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</row>
    <row r="80" spans="1:35" ht="15.75" customHeight="1">
      <c r="A80" s="175" t="s">
        <v>397</v>
      </c>
      <c r="B80" s="106"/>
      <c r="C80" s="106"/>
      <c r="D80" s="106"/>
      <c r="E80" s="106"/>
      <c r="F80" s="106"/>
      <c r="G80" s="106"/>
      <c r="H80" s="106"/>
      <c r="I80" s="106"/>
      <c r="J80" s="106"/>
      <c r="K80" s="295"/>
      <c r="L80" s="160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</row>
    <row r="81" spans="1:35" ht="15.75" customHeight="1">
      <c r="A81" s="175" t="s">
        <v>398</v>
      </c>
      <c r="B81" s="106"/>
      <c r="C81" s="106"/>
      <c r="D81" s="106"/>
      <c r="E81" s="106"/>
      <c r="F81" s="106"/>
      <c r="G81" s="106"/>
      <c r="H81" s="106"/>
      <c r="I81" s="106"/>
      <c r="J81" s="106"/>
      <c r="K81" s="295"/>
      <c r="L81" s="160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</row>
    <row r="82" spans="1:35" ht="15.75" customHeight="1">
      <c r="A82" s="175" t="s">
        <v>399</v>
      </c>
      <c r="B82" s="106"/>
      <c r="C82" s="106"/>
      <c r="D82" s="106"/>
      <c r="E82" s="106"/>
      <c r="F82" s="106"/>
      <c r="G82" s="106"/>
      <c r="H82" s="106"/>
      <c r="I82" s="106"/>
      <c r="J82" s="106"/>
      <c r="K82" s="295"/>
      <c r="L82" s="160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</row>
    <row r="83" spans="1:35" ht="15.75" customHeight="1">
      <c r="A83" s="175" t="s">
        <v>400</v>
      </c>
      <c r="B83" s="106"/>
      <c r="C83" s="106"/>
      <c r="D83" s="106"/>
      <c r="E83" s="106"/>
      <c r="F83" s="106"/>
      <c r="G83" s="106"/>
      <c r="H83" s="106"/>
      <c r="I83" s="106"/>
      <c r="J83" s="106"/>
      <c r="K83" s="295"/>
      <c r="L83" s="160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</row>
    <row r="84" spans="1:35" ht="15.75" customHeight="1">
      <c r="A84" s="175" t="s">
        <v>401</v>
      </c>
      <c r="B84" s="300"/>
      <c r="C84" s="300"/>
      <c r="D84" s="300"/>
      <c r="E84" s="300"/>
      <c r="F84" s="300"/>
      <c r="G84" s="300"/>
      <c r="H84" s="300"/>
      <c r="I84" s="300"/>
      <c r="J84" s="300"/>
      <c r="K84" s="302"/>
      <c r="L84" s="303"/>
      <c r="M84" s="300"/>
      <c r="N84" s="300"/>
      <c r="O84" s="300"/>
      <c r="P84" s="300"/>
      <c r="Q84" s="300"/>
      <c r="R84" s="300"/>
      <c r="S84" s="300"/>
      <c r="T84" s="300"/>
      <c r="U84" s="300"/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  <c r="AG84" s="300"/>
      <c r="AH84" s="300"/>
      <c r="AI84" s="300"/>
    </row>
    <row r="85" spans="1:35" ht="15.75" customHeight="1">
      <c r="A85" s="175" t="s">
        <v>402</v>
      </c>
      <c r="B85" s="106">
        <v>581306.9</v>
      </c>
      <c r="C85" s="106">
        <v>176464.38</v>
      </c>
      <c r="D85" s="106">
        <v>84249.25</v>
      </c>
      <c r="E85" s="106">
        <v>158645.24</v>
      </c>
      <c r="F85" s="106"/>
      <c r="G85" s="106">
        <v>253992.47</v>
      </c>
      <c r="H85" s="106"/>
      <c r="I85" s="106">
        <v>65588.81</v>
      </c>
      <c r="J85" s="106">
        <v>160084.53</v>
      </c>
      <c r="K85" s="295">
        <v>131579.24</v>
      </c>
      <c r="L85" s="160"/>
      <c r="M85" s="106">
        <v>414922.07</v>
      </c>
      <c r="N85" s="106"/>
      <c r="O85" s="106">
        <v>200774.58</v>
      </c>
      <c r="P85" s="106">
        <v>244038.88</v>
      </c>
      <c r="Q85" s="106"/>
      <c r="R85" s="106"/>
      <c r="S85" s="106">
        <v>995144.20885128621</v>
      </c>
      <c r="T85" s="106"/>
      <c r="U85" s="106">
        <v>227438.56</v>
      </c>
      <c r="V85" s="106"/>
      <c r="W85" s="106"/>
      <c r="X85" s="106"/>
      <c r="Y85" s="106"/>
      <c r="Z85" s="106"/>
      <c r="AA85" s="106"/>
      <c r="AB85" s="106"/>
      <c r="AC85" s="106">
        <v>91257.95</v>
      </c>
      <c r="AD85" s="106"/>
      <c r="AE85" s="106">
        <v>116984.27</v>
      </c>
      <c r="AF85" s="106"/>
      <c r="AG85" s="106"/>
      <c r="AH85" s="106"/>
      <c r="AI85" s="106"/>
    </row>
    <row r="86" spans="1:35" ht="15.75" customHeight="1">
      <c r="A86" s="175" t="s">
        <v>403</v>
      </c>
      <c r="B86" s="106">
        <v>297830.96999999997</v>
      </c>
      <c r="C86" s="106">
        <v>264477.93</v>
      </c>
      <c r="D86" s="106">
        <v>322073.84000000003</v>
      </c>
      <c r="E86" s="106">
        <v>102844.18</v>
      </c>
      <c r="F86" s="106"/>
      <c r="G86" s="106">
        <v>52166.02</v>
      </c>
      <c r="H86" s="106"/>
      <c r="I86" s="106">
        <v>78088.78</v>
      </c>
      <c r="J86" s="106">
        <v>204205.19</v>
      </c>
      <c r="K86" s="295">
        <v>77223.570000000007</v>
      </c>
      <c r="L86" s="160"/>
      <c r="M86" s="106"/>
      <c r="N86" s="106"/>
      <c r="O86" s="106">
        <v>263548.5</v>
      </c>
      <c r="P86" s="106"/>
      <c r="Q86" s="106"/>
      <c r="R86" s="106"/>
      <c r="S86" s="106">
        <v>1937855.4073451292</v>
      </c>
      <c r="T86" s="106"/>
      <c r="U86" s="106">
        <v>411742.73</v>
      </c>
      <c r="V86" s="106"/>
      <c r="W86" s="106"/>
      <c r="X86" s="106"/>
      <c r="Y86" s="106"/>
      <c r="Z86" s="106"/>
      <c r="AA86" s="106"/>
      <c r="AB86" s="106"/>
      <c r="AC86" s="106">
        <v>312041.43</v>
      </c>
      <c r="AD86" s="106"/>
      <c r="AE86" s="106">
        <v>46264.21</v>
      </c>
      <c r="AF86" s="106"/>
      <c r="AG86" s="106"/>
      <c r="AH86" s="106"/>
      <c r="AI86" s="106"/>
    </row>
    <row r="87" spans="1:35" ht="15.75" customHeight="1">
      <c r="A87" s="175" t="s">
        <v>404</v>
      </c>
      <c r="B87" s="106">
        <v>1421580.14</v>
      </c>
      <c r="C87" s="106">
        <v>400413.41</v>
      </c>
      <c r="D87" s="106">
        <v>129720.94</v>
      </c>
      <c r="E87" s="106"/>
      <c r="F87" s="106"/>
      <c r="G87" s="106">
        <v>142834.45000000001</v>
      </c>
      <c r="H87" s="106"/>
      <c r="I87" s="106">
        <v>256803.46</v>
      </c>
      <c r="J87" s="106">
        <v>201556.55</v>
      </c>
      <c r="K87" s="295">
        <v>73557.45</v>
      </c>
      <c r="L87" s="160"/>
      <c r="M87" s="106"/>
      <c r="N87" s="106"/>
      <c r="O87" s="106">
        <v>486712.29</v>
      </c>
      <c r="P87" s="106"/>
      <c r="Q87" s="106"/>
      <c r="R87" s="106"/>
      <c r="S87" s="106">
        <v>343834.09044621617</v>
      </c>
      <c r="T87" s="106"/>
      <c r="U87" s="106">
        <v>426681.35</v>
      </c>
      <c r="V87" s="106"/>
      <c r="W87" s="106"/>
      <c r="X87" s="106"/>
      <c r="Y87" s="106"/>
      <c r="Z87" s="106"/>
      <c r="AA87" s="106"/>
      <c r="AB87" s="106"/>
      <c r="AC87" s="106">
        <v>984889.71</v>
      </c>
      <c r="AD87" s="106"/>
      <c r="AE87" s="106">
        <v>109641.1</v>
      </c>
      <c r="AF87" s="106"/>
      <c r="AG87" s="106"/>
      <c r="AH87" s="106"/>
      <c r="AI87" s="106"/>
    </row>
    <row r="88" spans="1:35" ht="15.75" customHeight="1">
      <c r="A88" s="175" t="s">
        <v>405</v>
      </c>
      <c r="B88" s="106">
        <v>1166364.43</v>
      </c>
      <c r="C88" s="106">
        <v>120357.82</v>
      </c>
      <c r="D88" s="106">
        <v>790266.52</v>
      </c>
      <c r="E88" s="106"/>
      <c r="F88" s="106"/>
      <c r="G88" s="106">
        <v>58341.23</v>
      </c>
      <c r="H88" s="106"/>
      <c r="I88" s="106">
        <v>3226.84</v>
      </c>
      <c r="J88" s="106">
        <v>242096.48</v>
      </c>
      <c r="K88" s="295">
        <v>36040.21</v>
      </c>
      <c r="L88" s="160"/>
      <c r="M88" s="106"/>
      <c r="N88" s="106"/>
      <c r="O88" s="106">
        <v>567190.16</v>
      </c>
      <c r="P88" s="106"/>
      <c r="Q88" s="106"/>
      <c r="R88" s="106"/>
      <c r="S88" s="106">
        <v>7149866.6292762496</v>
      </c>
      <c r="T88" s="106"/>
      <c r="U88" s="106">
        <v>353589.54</v>
      </c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</row>
    <row r="89" spans="1:35" ht="15.75" customHeight="1">
      <c r="A89" s="175" t="s">
        <v>406</v>
      </c>
      <c r="B89" s="106">
        <v>30495.68</v>
      </c>
      <c r="C89" s="106"/>
      <c r="D89" s="106"/>
      <c r="E89" s="106"/>
      <c r="F89" s="106"/>
      <c r="G89" s="106">
        <v>532903.55000000005</v>
      </c>
      <c r="H89" s="106"/>
      <c r="I89" s="106">
        <v>27091.88</v>
      </c>
      <c r="J89" s="106">
        <v>468072.76</v>
      </c>
      <c r="K89" s="295">
        <v>119186.71</v>
      </c>
      <c r="L89" s="160"/>
      <c r="M89" s="106"/>
      <c r="N89" s="106"/>
      <c r="O89" s="106">
        <v>189036.46</v>
      </c>
      <c r="P89" s="106"/>
      <c r="Q89" s="106"/>
      <c r="R89" s="106"/>
      <c r="S89" s="106">
        <v>2671285.6409351639</v>
      </c>
      <c r="T89" s="106"/>
      <c r="U89" s="106">
        <v>543778.03</v>
      </c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</row>
    <row r="90" spans="1:35" ht="15.75" customHeight="1">
      <c r="A90" s="175" t="s">
        <v>407</v>
      </c>
      <c r="B90" s="106"/>
      <c r="C90" s="106"/>
      <c r="D90" s="106"/>
      <c r="E90" s="106"/>
      <c r="F90" s="106"/>
      <c r="G90" s="106">
        <v>406142.61</v>
      </c>
      <c r="H90" s="106"/>
      <c r="I90" s="106">
        <v>71675.81</v>
      </c>
      <c r="J90" s="106"/>
      <c r="K90" s="295">
        <v>0</v>
      </c>
      <c r="L90" s="160"/>
      <c r="M90" s="106"/>
      <c r="N90" s="106"/>
      <c r="O90" s="106"/>
      <c r="P90" s="106"/>
      <c r="Q90" s="106"/>
      <c r="R90" s="106"/>
      <c r="S90" s="106">
        <v>1806954.3084677006</v>
      </c>
      <c r="T90" s="106"/>
      <c r="U90" s="106">
        <v>281034.77</v>
      </c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</row>
    <row r="91" spans="1:35" ht="15.75" customHeight="1">
      <c r="A91" s="175" t="s">
        <v>408</v>
      </c>
      <c r="B91" s="106">
        <v>35798.1</v>
      </c>
      <c r="C91" s="106"/>
      <c r="D91" s="106"/>
      <c r="E91" s="106"/>
      <c r="F91" s="106"/>
      <c r="G91" s="106">
        <v>124083.05</v>
      </c>
      <c r="H91" s="106"/>
      <c r="I91" s="106"/>
      <c r="J91" s="106"/>
      <c r="K91" s="295">
        <v>0</v>
      </c>
      <c r="L91" s="160"/>
      <c r="M91" s="106"/>
      <c r="N91" s="106"/>
      <c r="O91" s="106"/>
      <c r="P91" s="106"/>
      <c r="Q91" s="106"/>
      <c r="R91" s="106"/>
      <c r="S91" s="106"/>
      <c r="T91" s="106"/>
      <c r="U91" s="106">
        <v>307768.90000000002</v>
      </c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</row>
    <row r="92" spans="1:35" ht="15.75" customHeight="1">
      <c r="A92" s="175" t="s">
        <v>409</v>
      </c>
      <c r="B92" s="106"/>
      <c r="C92" s="106"/>
      <c r="D92" s="106"/>
      <c r="E92" s="106"/>
      <c r="F92" s="106"/>
      <c r="G92" s="106">
        <v>248988.04</v>
      </c>
      <c r="H92" s="106"/>
      <c r="I92" s="106">
        <v>121638.02</v>
      </c>
      <c r="J92" s="106"/>
      <c r="K92" s="295">
        <v>0</v>
      </c>
      <c r="L92" s="160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</row>
    <row r="93" spans="1:35" ht="15.75" customHeight="1">
      <c r="A93" s="175" t="s">
        <v>410</v>
      </c>
      <c r="B93" s="106"/>
      <c r="C93" s="106"/>
      <c r="D93" s="106"/>
      <c r="E93" s="106"/>
      <c r="F93" s="106"/>
      <c r="G93" s="106">
        <v>68036.66</v>
      </c>
      <c r="H93" s="106"/>
      <c r="I93" s="106">
        <v>67229.69</v>
      </c>
      <c r="J93" s="106"/>
      <c r="K93" s="295">
        <v>129016.67</v>
      </c>
      <c r="L93" s="160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</row>
    <row r="94" spans="1:35" ht="15.75" customHeight="1">
      <c r="A94" s="175" t="s">
        <v>411</v>
      </c>
      <c r="B94" s="106"/>
      <c r="C94" s="106"/>
      <c r="D94" s="106"/>
      <c r="E94" s="106"/>
      <c r="F94" s="106"/>
      <c r="G94" s="106">
        <v>248139.15</v>
      </c>
      <c r="H94" s="106"/>
      <c r="I94" s="106"/>
      <c r="J94" s="106"/>
      <c r="K94" s="295"/>
      <c r="L94" s="160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</row>
    <row r="95" spans="1:35" ht="15.75" customHeight="1">
      <c r="A95" s="175" t="s">
        <v>412</v>
      </c>
      <c r="B95" s="106"/>
      <c r="C95" s="106"/>
      <c r="D95" s="106"/>
      <c r="E95" s="106"/>
      <c r="F95" s="106"/>
      <c r="G95" s="106"/>
      <c r="H95" s="106"/>
      <c r="I95" s="106"/>
      <c r="J95" s="106"/>
      <c r="K95" s="295"/>
      <c r="L95" s="160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</row>
    <row r="96" spans="1:35" ht="15.75" customHeight="1">
      <c r="A96" s="175" t="s">
        <v>413</v>
      </c>
      <c r="B96" s="106"/>
      <c r="C96" s="106"/>
      <c r="D96" s="106"/>
      <c r="E96" s="106"/>
      <c r="F96" s="106"/>
      <c r="G96" s="106"/>
      <c r="H96" s="106"/>
      <c r="I96" s="106"/>
      <c r="J96" s="106"/>
      <c r="K96" s="295"/>
      <c r="L96" s="160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</row>
    <row r="97" spans="1:35" ht="15.75" customHeight="1">
      <c r="A97" s="175" t="s">
        <v>414</v>
      </c>
      <c r="B97" s="106"/>
      <c r="C97" s="106"/>
      <c r="D97" s="106"/>
      <c r="E97" s="106"/>
      <c r="F97" s="106"/>
      <c r="G97" s="106"/>
      <c r="H97" s="106"/>
      <c r="I97" s="106"/>
      <c r="J97" s="106"/>
      <c r="K97" s="295"/>
      <c r="L97" s="160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</row>
    <row r="98" spans="1:35" ht="15.75" customHeight="1">
      <c r="A98" s="175" t="s">
        <v>415</v>
      </c>
      <c r="B98" s="106"/>
      <c r="C98" s="106"/>
      <c r="D98" s="106"/>
      <c r="E98" s="106"/>
      <c r="F98" s="106"/>
      <c r="G98" s="106"/>
      <c r="H98" s="106"/>
      <c r="I98" s="106"/>
      <c r="J98" s="106"/>
      <c r="K98" s="295"/>
      <c r="L98" s="160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</row>
    <row r="99" spans="1:35" ht="15.75" customHeight="1">
      <c r="A99" s="175" t="s">
        <v>416</v>
      </c>
      <c r="B99" s="106"/>
      <c r="C99" s="106"/>
      <c r="D99" s="106"/>
      <c r="E99" s="106"/>
      <c r="F99" s="106"/>
      <c r="G99" s="106"/>
      <c r="H99" s="106"/>
      <c r="I99" s="106"/>
      <c r="J99" s="106"/>
      <c r="K99" s="295"/>
      <c r="L99" s="160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</row>
    <row r="100" spans="1:35" ht="15.75" customHeight="1">
      <c r="A100" s="175" t="s">
        <v>417</v>
      </c>
      <c r="B100" s="106"/>
      <c r="C100" s="106"/>
      <c r="D100" s="106"/>
      <c r="E100" s="106"/>
      <c r="F100" s="106"/>
      <c r="G100" s="106"/>
      <c r="H100" s="106"/>
      <c r="I100" s="106"/>
      <c r="J100" s="106"/>
      <c r="K100" s="295"/>
      <c r="L100" s="160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</row>
    <row r="101" spans="1:35" ht="15.75" customHeight="1">
      <c r="A101" s="175" t="s">
        <v>418</v>
      </c>
      <c r="B101" s="106"/>
      <c r="C101" s="106"/>
      <c r="D101" s="106"/>
      <c r="E101" s="106"/>
      <c r="F101" s="106"/>
      <c r="G101" s="106"/>
      <c r="H101" s="106"/>
      <c r="I101" s="106"/>
      <c r="J101" s="106"/>
      <c r="K101" s="295"/>
      <c r="L101" s="160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</row>
    <row r="102" spans="1:35" ht="15.75" customHeight="1">
      <c r="A102" s="175" t="s">
        <v>419</v>
      </c>
      <c r="B102" s="106"/>
      <c r="C102" s="106"/>
      <c r="D102" s="106"/>
      <c r="E102" s="106"/>
      <c r="F102" s="106"/>
      <c r="G102" s="106"/>
      <c r="H102" s="106"/>
      <c r="I102" s="106"/>
      <c r="J102" s="106"/>
      <c r="K102" s="295"/>
      <c r="L102" s="160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</row>
    <row r="103" spans="1:35" ht="15.75" customHeight="1">
      <c r="A103" s="175" t="s">
        <v>420</v>
      </c>
      <c r="B103" s="106"/>
      <c r="C103" s="106"/>
      <c r="D103" s="106"/>
      <c r="E103" s="106"/>
      <c r="F103" s="106"/>
      <c r="G103" s="106"/>
      <c r="H103" s="106"/>
      <c r="I103" s="106"/>
      <c r="J103" s="106"/>
      <c r="K103" s="295"/>
      <c r="L103" s="160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</row>
    <row r="104" spans="1:35" ht="15.75" customHeight="1">
      <c r="A104" s="175" t="s">
        <v>421</v>
      </c>
      <c r="B104" s="106"/>
      <c r="C104" s="106"/>
      <c r="D104" s="106"/>
      <c r="E104" s="106"/>
      <c r="F104" s="106"/>
      <c r="G104" s="106"/>
      <c r="H104" s="106"/>
      <c r="I104" s="106"/>
      <c r="J104" s="106"/>
      <c r="K104" s="295"/>
      <c r="L104" s="160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</row>
    <row r="105" spans="1:35" ht="15.75" customHeight="1">
      <c r="A105" s="175" t="s">
        <v>332</v>
      </c>
      <c r="B105" s="300"/>
      <c r="C105" s="300"/>
      <c r="D105" s="300"/>
      <c r="E105" s="300"/>
      <c r="F105" s="300"/>
      <c r="G105" s="300"/>
      <c r="H105" s="300"/>
      <c r="I105" s="300"/>
      <c r="J105" s="300"/>
      <c r="K105" s="302"/>
      <c r="L105" s="303"/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</row>
    <row r="106" spans="1:35" ht="15.75" customHeight="1">
      <c r="A106" s="175">
        <v>1</v>
      </c>
      <c r="B106" s="106"/>
      <c r="C106" s="106"/>
      <c r="D106" s="106"/>
      <c r="E106" s="106"/>
      <c r="F106" s="106"/>
      <c r="G106" s="106"/>
      <c r="H106" s="106"/>
      <c r="I106" s="106"/>
      <c r="J106" s="106"/>
      <c r="K106" s="295"/>
      <c r="L106" s="160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</row>
    <row r="107" spans="1:35" ht="15.75" customHeight="1">
      <c r="A107" s="175">
        <v>2</v>
      </c>
      <c r="B107" s="106"/>
      <c r="C107" s="106"/>
      <c r="D107" s="106"/>
      <c r="E107" s="106"/>
      <c r="F107" s="106"/>
      <c r="G107" s="106"/>
      <c r="H107" s="106"/>
      <c r="I107" s="106"/>
      <c r="J107" s="106"/>
      <c r="K107" s="295"/>
      <c r="L107" s="160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</row>
    <row r="108" spans="1:35" ht="15.75" customHeight="1">
      <c r="A108" s="175">
        <v>3</v>
      </c>
      <c r="B108" s="106"/>
      <c r="C108" s="106"/>
      <c r="D108" s="106"/>
      <c r="E108" s="106"/>
      <c r="F108" s="106"/>
      <c r="G108" s="106"/>
      <c r="H108" s="106"/>
      <c r="I108" s="106"/>
      <c r="J108" s="106"/>
      <c r="K108" s="295"/>
      <c r="L108" s="160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</row>
    <row r="109" spans="1:35" ht="15.75" customHeight="1">
      <c r="A109" s="175">
        <v>4</v>
      </c>
      <c r="B109" s="106"/>
      <c r="C109" s="106"/>
      <c r="D109" s="106"/>
      <c r="E109" s="106"/>
      <c r="F109" s="106"/>
      <c r="G109" s="106"/>
      <c r="H109" s="106"/>
      <c r="I109" s="106"/>
      <c r="J109" s="106"/>
      <c r="K109" s="295"/>
      <c r="L109" s="160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</row>
    <row r="110" spans="1:35" ht="15.75" customHeight="1">
      <c r="A110" s="175">
        <v>5</v>
      </c>
      <c r="B110" s="106"/>
      <c r="C110" s="106"/>
      <c r="D110" s="106"/>
      <c r="E110" s="106"/>
      <c r="F110" s="106"/>
      <c r="G110" s="106"/>
      <c r="H110" s="106"/>
      <c r="I110" s="106"/>
      <c r="J110" s="106"/>
      <c r="K110" s="295"/>
      <c r="L110" s="160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</row>
    <row r="111" spans="1:35" ht="15.75" customHeight="1">
      <c r="A111" s="175">
        <v>6</v>
      </c>
      <c r="B111" s="106"/>
      <c r="C111" s="106"/>
      <c r="D111" s="106"/>
      <c r="E111" s="106"/>
      <c r="F111" s="106"/>
      <c r="G111" s="106"/>
      <c r="H111" s="106"/>
      <c r="I111" s="106"/>
      <c r="J111" s="106"/>
      <c r="K111" s="295"/>
      <c r="L111" s="160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</row>
    <row r="112" spans="1:35" ht="15.75" customHeight="1">
      <c r="A112" s="175">
        <v>7</v>
      </c>
      <c r="B112" s="106"/>
      <c r="C112" s="106"/>
      <c r="D112" s="106"/>
      <c r="E112" s="106"/>
      <c r="F112" s="106"/>
      <c r="G112" s="106"/>
      <c r="H112" s="106"/>
      <c r="I112" s="106"/>
      <c r="J112" s="106"/>
      <c r="K112" s="295"/>
      <c r="L112" s="160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</row>
    <row r="113" spans="1:35" ht="15.75" customHeight="1">
      <c r="A113" s="175">
        <v>8</v>
      </c>
      <c r="B113" s="106"/>
      <c r="C113" s="106"/>
      <c r="D113" s="106"/>
      <c r="E113" s="106"/>
      <c r="F113" s="106"/>
      <c r="G113" s="106"/>
      <c r="H113" s="106"/>
      <c r="I113" s="106"/>
      <c r="J113" s="106"/>
      <c r="K113" s="295"/>
      <c r="L113" s="160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</row>
    <row r="114" spans="1:35" ht="15.75" customHeight="1">
      <c r="A114" s="175">
        <v>9</v>
      </c>
      <c r="B114" s="106"/>
      <c r="C114" s="106"/>
      <c r="D114" s="106"/>
      <c r="E114" s="106"/>
      <c r="F114" s="106"/>
      <c r="G114" s="106"/>
      <c r="H114" s="106"/>
      <c r="I114" s="106"/>
      <c r="J114" s="106"/>
      <c r="K114" s="295"/>
      <c r="L114" s="160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</row>
    <row r="115" spans="1:35" ht="15.75" customHeight="1">
      <c r="A115" s="175">
        <v>10</v>
      </c>
      <c r="B115" s="106"/>
      <c r="C115" s="106"/>
      <c r="D115" s="106"/>
      <c r="E115" s="106"/>
      <c r="F115" s="106"/>
      <c r="G115" s="106"/>
      <c r="H115" s="106"/>
      <c r="I115" s="106"/>
      <c r="J115" s="106"/>
      <c r="K115" s="295"/>
      <c r="L115" s="160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</row>
    <row r="116" spans="1:35" ht="15.75" customHeight="1">
      <c r="A116" s="175" t="s">
        <v>333</v>
      </c>
      <c r="B116" s="300"/>
      <c r="C116" s="300"/>
      <c r="D116" s="300"/>
      <c r="E116" s="300"/>
      <c r="F116" s="300"/>
      <c r="G116" s="300"/>
      <c r="H116" s="300"/>
      <c r="I116" s="300"/>
      <c r="J116" s="300"/>
      <c r="K116" s="302"/>
      <c r="L116" s="303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  <c r="AB116" s="300"/>
      <c r="AC116" s="300"/>
      <c r="AD116" s="300"/>
      <c r="AE116" s="300"/>
      <c r="AF116" s="300"/>
      <c r="AG116" s="300"/>
      <c r="AH116" s="300"/>
      <c r="AI116" s="300"/>
    </row>
    <row r="117" spans="1:35" ht="15.75" customHeight="1">
      <c r="A117" s="175" t="s">
        <v>422</v>
      </c>
      <c r="B117" s="106">
        <v>4865794.93</v>
      </c>
      <c r="C117" s="106">
        <v>1112378</v>
      </c>
      <c r="D117" s="106"/>
      <c r="E117" s="106"/>
      <c r="F117" s="106">
        <v>410424.89</v>
      </c>
      <c r="G117" s="106">
        <v>6590103.2199999997</v>
      </c>
      <c r="H117" s="106">
        <v>24650.16</v>
      </c>
      <c r="I117" s="106">
        <v>931937.12</v>
      </c>
      <c r="J117" s="106">
        <v>1306800</v>
      </c>
      <c r="K117" s="295">
        <v>46131.45</v>
      </c>
      <c r="L117" s="160"/>
      <c r="M117" s="106"/>
      <c r="N117" s="106">
        <v>1561383.96</v>
      </c>
      <c r="O117" s="106">
        <v>1528435.1</v>
      </c>
      <c r="P117" s="106">
        <v>3219362.02</v>
      </c>
      <c r="Q117" s="106"/>
      <c r="R117" s="106"/>
      <c r="S117" s="106">
        <v>199969.44</v>
      </c>
      <c r="T117" s="106">
        <v>147182.17000000001</v>
      </c>
      <c r="U117" s="106"/>
      <c r="V117" s="106"/>
      <c r="W117" s="106"/>
      <c r="X117" s="106"/>
      <c r="Y117" s="106">
        <v>183203.20000000001</v>
      </c>
      <c r="Z117" s="106">
        <v>436600</v>
      </c>
      <c r="AA117" s="106">
        <v>692811</v>
      </c>
      <c r="AB117" s="106"/>
      <c r="AC117" s="106"/>
      <c r="AD117" s="106"/>
      <c r="AE117" s="106">
        <v>274800</v>
      </c>
      <c r="AF117" s="106">
        <v>112057.93</v>
      </c>
      <c r="AG117" s="106">
        <v>285520.03999999998</v>
      </c>
      <c r="AH117" s="106"/>
      <c r="AI117" s="106"/>
    </row>
    <row r="118" spans="1:35" ht="15.75" customHeight="1">
      <c r="A118" s="175" t="s">
        <v>423</v>
      </c>
      <c r="B118" s="106">
        <v>0</v>
      </c>
      <c r="C118" s="106"/>
      <c r="D118" s="106"/>
      <c r="E118" s="106"/>
      <c r="F118" s="106">
        <v>138522.25</v>
      </c>
      <c r="G118" s="106">
        <v>602794.76</v>
      </c>
      <c r="H118" s="106"/>
      <c r="I118" s="106"/>
      <c r="J118" s="106"/>
      <c r="K118" s="295"/>
      <c r="L118" s="160"/>
      <c r="M118" s="106"/>
      <c r="N118" s="106">
        <v>1000000</v>
      </c>
      <c r="O118" s="106"/>
      <c r="P118" s="106">
        <v>7936591.2800000003</v>
      </c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>
        <v>338560.33</v>
      </c>
      <c r="AH118" s="106"/>
      <c r="AI118" s="106"/>
    </row>
    <row r="119" spans="1:35" ht="15.75" customHeight="1">
      <c r="A119" s="175" t="s">
        <v>424</v>
      </c>
      <c r="B119" s="106"/>
      <c r="C119" s="106"/>
      <c r="D119" s="106"/>
      <c r="E119" s="106"/>
      <c r="F119" s="106"/>
      <c r="G119" s="106">
        <v>325516.89</v>
      </c>
      <c r="H119" s="106"/>
      <c r="I119" s="106"/>
      <c r="J119" s="106"/>
      <c r="K119" s="295"/>
      <c r="L119" s="160"/>
      <c r="M119" s="106"/>
      <c r="N119" s="106">
        <v>429394.82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</row>
    <row r="120" spans="1:35" ht="15.75" customHeight="1">
      <c r="A120" s="175" t="s">
        <v>425</v>
      </c>
      <c r="B120" s="106"/>
      <c r="C120" s="106"/>
      <c r="D120" s="106"/>
      <c r="E120" s="106"/>
      <c r="F120" s="106"/>
      <c r="G120" s="106">
        <v>135241.45000000001</v>
      </c>
      <c r="H120" s="106"/>
      <c r="I120" s="106"/>
      <c r="J120" s="106"/>
      <c r="K120" s="295"/>
      <c r="L120" s="160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</row>
    <row r="121" spans="1:35" ht="15.75" customHeight="1">
      <c r="A121" s="175" t="s">
        <v>426</v>
      </c>
      <c r="B121" s="177"/>
      <c r="C121" s="177"/>
      <c r="D121" s="177"/>
      <c r="E121" s="177"/>
      <c r="F121" s="177"/>
      <c r="G121" s="177"/>
      <c r="H121" s="177"/>
      <c r="I121" s="177"/>
      <c r="J121" s="177"/>
      <c r="K121" s="178"/>
      <c r="L121" s="179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</row>
    <row r="122" spans="1:35" ht="15.75" customHeight="1">
      <c r="A122" s="175" t="s">
        <v>427</v>
      </c>
      <c r="B122" s="106">
        <v>934288.34</v>
      </c>
      <c r="C122" s="106">
        <v>243319.04000000001</v>
      </c>
      <c r="D122" s="106"/>
      <c r="E122" s="106"/>
      <c r="F122" s="106"/>
      <c r="G122" s="106"/>
      <c r="H122" s="106"/>
      <c r="I122" s="106"/>
      <c r="J122" s="106"/>
      <c r="K122" s="295"/>
      <c r="L122" s="160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</row>
    <row r="123" spans="1:35" ht="15.75" customHeight="1">
      <c r="A123" s="175" t="s">
        <v>428</v>
      </c>
      <c r="B123" s="106"/>
      <c r="C123" s="106"/>
      <c r="D123" s="106"/>
      <c r="E123" s="106"/>
      <c r="F123" s="106"/>
      <c r="G123" s="106">
        <v>245852.97</v>
      </c>
      <c r="H123" s="106"/>
      <c r="I123" s="106"/>
      <c r="J123" s="106"/>
      <c r="K123" s="295"/>
      <c r="L123" s="160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</row>
    <row r="124" spans="1:35" ht="15.75" customHeight="1">
      <c r="A124" s="175" t="s">
        <v>429</v>
      </c>
      <c r="B124" s="106"/>
      <c r="C124" s="106"/>
      <c r="D124" s="106"/>
      <c r="E124" s="106"/>
      <c r="F124" s="106"/>
      <c r="G124" s="106">
        <v>131845.07</v>
      </c>
      <c r="H124" s="106"/>
      <c r="I124" s="106"/>
      <c r="J124" s="106"/>
      <c r="K124" s="295"/>
      <c r="L124" s="160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</row>
    <row r="125" spans="1:35" ht="15.75" customHeight="1">
      <c r="A125" s="175" t="s">
        <v>430</v>
      </c>
      <c r="B125" s="106"/>
      <c r="C125" s="106"/>
      <c r="D125" s="106"/>
      <c r="E125" s="106"/>
      <c r="F125" s="106"/>
      <c r="G125" s="106">
        <v>61120.87</v>
      </c>
      <c r="H125" s="106"/>
      <c r="I125" s="106"/>
      <c r="J125" s="106"/>
      <c r="K125" s="295"/>
      <c r="L125" s="160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</row>
    <row r="126" spans="1:35" ht="15.75" customHeight="1">
      <c r="A126" s="175" t="s">
        <v>431</v>
      </c>
      <c r="B126" s="177"/>
      <c r="C126" s="177"/>
      <c r="D126" s="177"/>
      <c r="E126" s="177"/>
      <c r="F126" s="177"/>
      <c r="G126" s="177"/>
      <c r="H126" s="177"/>
      <c r="I126" s="177"/>
      <c r="J126" s="177"/>
      <c r="K126" s="178"/>
      <c r="L126" s="179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  <c r="AF126" s="177"/>
      <c r="AG126" s="177"/>
      <c r="AH126" s="177"/>
      <c r="AI126" s="177"/>
    </row>
    <row r="127" spans="1:35" ht="15.75" customHeight="1">
      <c r="A127" s="175" t="s">
        <v>432</v>
      </c>
      <c r="B127" s="180">
        <v>666872.82999999996</v>
      </c>
      <c r="C127" s="180"/>
      <c r="D127" s="180"/>
      <c r="E127" s="180"/>
      <c r="F127" s="180"/>
      <c r="G127" s="180">
        <v>2783124.63</v>
      </c>
      <c r="H127" s="180"/>
      <c r="I127" s="180"/>
      <c r="J127" s="180"/>
      <c r="K127" s="181"/>
      <c r="L127" s="182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>
        <v>74453.42</v>
      </c>
      <c r="AF127" s="180"/>
      <c r="AG127" s="180"/>
      <c r="AH127" s="180"/>
      <c r="AI127" s="180"/>
    </row>
    <row r="128" spans="1:35" ht="15.75" customHeight="1">
      <c r="A128" s="175" t="s">
        <v>433</v>
      </c>
      <c r="B128" s="180"/>
      <c r="C128" s="180"/>
      <c r="D128" s="180"/>
      <c r="E128" s="180"/>
      <c r="F128" s="180"/>
      <c r="G128" s="180">
        <v>9414.44</v>
      </c>
      <c r="H128" s="180"/>
      <c r="I128" s="180"/>
      <c r="J128" s="180"/>
      <c r="K128" s="181"/>
      <c r="L128" s="182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</row>
    <row r="129" spans="1:35" ht="15.75" customHeight="1">
      <c r="A129" s="175" t="s">
        <v>434</v>
      </c>
      <c r="B129" s="180"/>
      <c r="C129" s="180"/>
      <c r="D129" s="180"/>
      <c r="E129" s="180"/>
      <c r="F129" s="180"/>
      <c r="G129" s="180">
        <v>14876.02</v>
      </c>
      <c r="H129" s="180"/>
      <c r="I129" s="180"/>
      <c r="J129" s="180"/>
      <c r="K129" s="181"/>
      <c r="L129" s="182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</row>
    <row r="130" spans="1:35" ht="15.75" customHeight="1">
      <c r="A130" s="175" t="s">
        <v>435</v>
      </c>
      <c r="B130" s="180"/>
      <c r="C130" s="180"/>
      <c r="D130" s="180"/>
      <c r="E130" s="180"/>
      <c r="F130" s="180"/>
      <c r="G130" s="180">
        <v>3598.16</v>
      </c>
      <c r="H130" s="180"/>
      <c r="I130" s="180"/>
      <c r="J130" s="180"/>
      <c r="K130" s="181"/>
      <c r="L130" s="182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</row>
    <row r="131" spans="1:35" ht="15.75" customHeight="1">
      <c r="A131" s="175" t="s">
        <v>334</v>
      </c>
      <c r="B131" s="300"/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</row>
    <row r="132" spans="1:35" ht="15.75" customHeight="1">
      <c r="A132" s="175" t="s">
        <v>436</v>
      </c>
      <c r="B132" s="106">
        <v>4149868.04</v>
      </c>
      <c r="C132" s="106"/>
      <c r="D132" s="106"/>
      <c r="E132" s="106"/>
      <c r="F132" s="106"/>
      <c r="G132" s="106"/>
      <c r="H132" s="106"/>
      <c r="I132" s="106"/>
      <c r="J132" s="106"/>
      <c r="K132" s="295"/>
      <c r="L132" s="160"/>
      <c r="M132" s="106">
        <v>108861.77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>
        <v>533518.87489999994</v>
      </c>
      <c r="AC132" s="106"/>
      <c r="AD132" s="106"/>
      <c r="AE132" s="106"/>
      <c r="AF132" s="106"/>
      <c r="AG132" s="106"/>
      <c r="AH132" s="106"/>
      <c r="AI132" s="106"/>
    </row>
    <row r="133" spans="1:35" ht="15.75" customHeight="1">
      <c r="A133" s="175" t="s">
        <v>437</v>
      </c>
      <c r="B133" s="106"/>
      <c r="C133" s="106"/>
      <c r="D133" s="106"/>
      <c r="E133" s="106"/>
      <c r="F133" s="106"/>
      <c r="G133" s="106"/>
      <c r="H133" s="106"/>
      <c r="I133" s="106"/>
      <c r="J133" s="106"/>
      <c r="K133" s="295"/>
      <c r="L133" s="160"/>
      <c r="M133" s="106">
        <v>28477.26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</row>
    <row r="134" spans="1:35" ht="15.75" customHeight="1">
      <c r="A134" s="175" t="s">
        <v>438</v>
      </c>
      <c r="B134" s="106"/>
      <c r="C134" s="106"/>
      <c r="D134" s="106"/>
      <c r="E134" s="106"/>
      <c r="F134" s="106"/>
      <c r="G134" s="106"/>
      <c r="H134" s="106"/>
      <c r="I134" s="106"/>
      <c r="J134" s="106"/>
      <c r="K134" s="295"/>
      <c r="L134" s="160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</row>
    <row r="135" spans="1:35" ht="15.75" customHeight="1">
      <c r="A135" s="175" t="s">
        <v>439</v>
      </c>
      <c r="B135" s="106"/>
      <c r="C135" s="106"/>
      <c r="D135" s="106"/>
      <c r="E135" s="106"/>
      <c r="F135" s="106"/>
      <c r="G135" s="106"/>
      <c r="H135" s="106"/>
      <c r="I135" s="106"/>
      <c r="J135" s="106"/>
      <c r="K135" s="295"/>
      <c r="L135" s="160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</row>
    <row r="136" spans="1:35" ht="15.75" customHeight="1">
      <c r="A136" s="175" t="s">
        <v>440</v>
      </c>
      <c r="B136" s="106"/>
      <c r="C136" s="106"/>
      <c r="D136" s="106"/>
      <c r="E136" s="106"/>
      <c r="F136" s="106"/>
      <c r="G136" s="106"/>
      <c r="H136" s="106"/>
      <c r="I136" s="106"/>
      <c r="J136" s="106"/>
      <c r="K136" s="295"/>
      <c r="L136" s="160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</row>
    <row r="137" spans="1:35" ht="15.75" customHeight="1">
      <c r="A137" s="175" t="s">
        <v>335</v>
      </c>
      <c r="B137" s="300"/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  <c r="AA137" s="300"/>
      <c r="AB137" s="300"/>
      <c r="AC137" s="300"/>
      <c r="AD137" s="300"/>
      <c r="AE137" s="300"/>
      <c r="AF137" s="300"/>
      <c r="AG137" s="300"/>
      <c r="AH137" s="300"/>
      <c r="AI137" s="300"/>
    </row>
    <row r="138" spans="1:35" ht="15.75" customHeight="1">
      <c r="A138" s="175" t="s">
        <v>441</v>
      </c>
      <c r="B138" s="106"/>
      <c r="C138" s="106"/>
      <c r="D138" s="106"/>
      <c r="E138" s="106"/>
      <c r="F138" s="106"/>
      <c r="G138" s="106"/>
      <c r="H138" s="106"/>
      <c r="I138" s="106"/>
      <c r="J138" s="106"/>
      <c r="K138" s="295"/>
      <c r="L138" s="160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>
        <v>465402.6</v>
      </c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</row>
    <row r="139" spans="1:35" ht="15.75" customHeight="1">
      <c r="A139" s="175" t="s">
        <v>442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295"/>
      <c r="L139" s="160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</row>
    <row r="140" spans="1:35" ht="15.75" customHeight="1">
      <c r="A140" s="175" t="s">
        <v>443</v>
      </c>
      <c r="B140" s="106"/>
      <c r="C140" s="106"/>
      <c r="D140" s="106"/>
      <c r="E140" s="106"/>
      <c r="F140" s="106"/>
      <c r="G140" s="106"/>
      <c r="H140" s="106"/>
      <c r="I140" s="106"/>
      <c r="J140" s="106"/>
      <c r="K140" s="295"/>
      <c r="L140" s="160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</row>
    <row r="141" spans="1:35" ht="15.75" customHeight="1">
      <c r="A141" s="175" t="s">
        <v>444</v>
      </c>
      <c r="B141" s="106"/>
      <c r="C141" s="106"/>
      <c r="D141" s="106"/>
      <c r="E141" s="106"/>
      <c r="F141" s="106"/>
      <c r="G141" s="106"/>
      <c r="H141" s="106"/>
      <c r="I141" s="106"/>
      <c r="J141" s="106"/>
      <c r="K141" s="295"/>
      <c r="L141" s="160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</row>
    <row r="142" spans="1:35" ht="15.75" customHeight="1">
      <c r="A142" s="175" t="s">
        <v>445</v>
      </c>
      <c r="B142" s="300"/>
      <c r="C142" s="300"/>
      <c r="D142" s="300"/>
      <c r="E142" s="300"/>
      <c r="F142" s="300"/>
      <c r="G142" s="300"/>
      <c r="H142" s="300"/>
      <c r="I142" s="300"/>
      <c r="J142" s="300"/>
      <c r="K142" s="302"/>
      <c r="L142" s="303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300"/>
      <c r="AB142" s="300"/>
      <c r="AC142" s="300"/>
      <c r="AD142" s="300"/>
      <c r="AE142" s="300"/>
      <c r="AF142" s="300"/>
      <c r="AG142" s="300"/>
      <c r="AH142" s="300"/>
      <c r="AI142" s="300"/>
    </row>
    <row r="143" spans="1:35" ht="15.75" customHeight="1">
      <c r="A143" s="175" t="s">
        <v>446</v>
      </c>
      <c r="B143" s="106"/>
      <c r="C143" s="106"/>
      <c r="D143" s="106"/>
      <c r="E143" s="106"/>
      <c r="F143" s="106"/>
      <c r="G143" s="106"/>
      <c r="H143" s="106"/>
      <c r="I143" s="106"/>
      <c r="J143" s="106"/>
      <c r="K143" s="295"/>
      <c r="L143" s="160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</row>
    <row r="144" spans="1:35" ht="15.75" customHeight="1">
      <c r="A144" s="175" t="s">
        <v>447</v>
      </c>
      <c r="B144" s="106"/>
      <c r="C144" s="106"/>
      <c r="D144" s="106"/>
      <c r="E144" s="106"/>
      <c r="F144" s="106"/>
      <c r="G144" s="106"/>
      <c r="H144" s="106"/>
      <c r="I144" s="106"/>
      <c r="J144" s="106"/>
      <c r="K144" s="295"/>
      <c r="L144" s="160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</row>
    <row r="145" spans="1:35" ht="15.75" customHeight="1">
      <c r="A145" s="175" t="s">
        <v>448</v>
      </c>
      <c r="B145" s="106"/>
      <c r="C145" s="106"/>
      <c r="D145" s="106"/>
      <c r="E145" s="106"/>
      <c r="F145" s="106"/>
      <c r="G145" s="106"/>
      <c r="H145" s="106"/>
      <c r="I145" s="106"/>
      <c r="J145" s="106"/>
      <c r="K145" s="295"/>
      <c r="L145" s="160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</row>
    <row r="146" spans="1:35" ht="15.75" customHeight="1">
      <c r="A146" s="175" t="s">
        <v>449</v>
      </c>
      <c r="B146" s="106"/>
      <c r="C146" s="106"/>
      <c r="D146" s="106"/>
      <c r="E146" s="106"/>
      <c r="F146" s="106"/>
      <c r="G146" s="106"/>
      <c r="H146" s="106"/>
      <c r="I146" s="106"/>
      <c r="J146" s="106"/>
      <c r="K146" s="295"/>
      <c r="L146" s="160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</row>
    <row r="147" spans="1:35" ht="15.75" customHeight="1">
      <c r="A147" s="175" t="s">
        <v>450</v>
      </c>
      <c r="B147" s="177"/>
      <c r="C147" s="177"/>
      <c r="D147" s="177"/>
      <c r="E147" s="177"/>
      <c r="F147" s="177"/>
      <c r="G147" s="177"/>
      <c r="H147" s="177"/>
      <c r="I147" s="177"/>
      <c r="J147" s="177"/>
      <c r="K147" s="178"/>
      <c r="L147" s="179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</row>
    <row r="148" spans="1:35" ht="15.75" customHeight="1">
      <c r="A148" s="175" t="s">
        <v>451</v>
      </c>
      <c r="B148" s="106"/>
      <c r="C148" s="106"/>
      <c r="D148" s="106"/>
      <c r="E148" s="106"/>
      <c r="F148" s="106"/>
      <c r="G148" s="106"/>
      <c r="H148" s="106"/>
      <c r="I148" s="106"/>
      <c r="J148" s="106"/>
      <c r="K148" s="295"/>
      <c r="L148" s="160"/>
      <c r="M148" s="106">
        <v>185915.92</v>
      </c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</row>
    <row r="149" spans="1:35" ht="15.75" customHeight="1">
      <c r="A149" s="175" t="s">
        <v>452</v>
      </c>
      <c r="B149" s="106"/>
      <c r="C149" s="106"/>
      <c r="D149" s="106"/>
      <c r="E149" s="106"/>
      <c r="F149" s="106"/>
      <c r="G149" s="106"/>
      <c r="H149" s="106"/>
      <c r="I149" s="106"/>
      <c r="J149" s="106"/>
      <c r="K149" s="295"/>
      <c r="L149" s="160"/>
      <c r="M149" s="106"/>
      <c r="N149" s="106"/>
      <c r="O149" s="106">
        <v>4516.1899999999996</v>
      </c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>
        <v>109331.59</v>
      </c>
      <c r="AF149" s="106"/>
      <c r="AG149" s="106"/>
      <c r="AH149" s="106"/>
      <c r="AI149" s="106"/>
    </row>
    <row r="150" spans="1:3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/>
    <row r="351" spans="1:35" ht="15.75" customHeight="1"/>
    <row r="352" spans="1:35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A1" location="null!A1" display="&lt;  INDICE" xr:uid="{00000000-0004-0000-1F00-000000000000}"/>
    <hyperlink ref="B2" location="null!A1" display="PARQUE CIVICO - REMODELACIÓN DE EDIFICIOS" xr:uid="{00000000-0004-0000-1F00-000001000000}"/>
    <hyperlink ref="C2" location="null!A1" display="PARQUE CIVICO - PINTURA DE EDIFICIOS" xr:uid="{00000000-0004-0000-1F00-000002000000}"/>
    <hyperlink ref="D2" location="ALTE BROWN!A1" display="PARQUE CIVICO - ENSANCHE BOEDO" xr:uid="{00000000-0004-0000-1F00-000003000000}"/>
    <hyperlink ref="E2" location="null!A1" display="PARQUE CIVICO - CIERRE" xr:uid="{00000000-0004-0000-1F00-000004000000}"/>
    <hyperlink ref="F2" location="null!A1" display="TRASLADO DE CIERRE CASA VIDELA" xr:uid="{00000000-0004-0000-1F00-000005000000}"/>
    <hyperlink ref="G2" location="null!A1" display="REMODELACIÓN CENTRO CARRODILLA (PASO - CARRODILLA)" xr:uid="{00000000-0004-0000-1F00-000006000000}"/>
    <hyperlink ref="H2" location="null!A1" display="PARQUE CÍVICO - SEÑALÉTICA EDIFICIO" xr:uid="{00000000-0004-0000-1F00-000007000000}"/>
    <hyperlink ref="I2" location="null!A1" display="CONSTRUCCION COMISARIA 11" xr:uid="{00000000-0004-0000-1F00-000008000000}"/>
    <hyperlink ref="J2" location="BRANDSEN Y R15!A1" display="INTERSECCIÓN BRANDSEN Y RUTA 15" xr:uid="{00000000-0004-0000-1F00-000009000000}"/>
    <hyperlink ref="K2" location="null!A1" display="NAVE DE USOS MULTIPLES - CLUB FERROVIARIO" xr:uid="{00000000-0004-0000-1F00-00000A000000}"/>
    <hyperlink ref="L2" location="PERF. RIBERA!A1" display="PERFORACION PROYECTO RIBERA" xr:uid="{00000000-0004-0000-1F00-00000B000000}"/>
    <hyperlink ref="M2" location="CLOACAS B° CORDON!A1" display="COLECTORA Y CONEXIONES - B° CORDÓN DEL PLATA" xr:uid="{00000000-0004-0000-1F00-00000C000000}"/>
    <hyperlink ref="N2" location="CLOACAS PERDRIEL!A1" display="CLOACAS PERDRIEL" xr:uid="{00000000-0004-0000-1F00-00000D000000}"/>
    <hyperlink ref="O2" location="null!A1" display="REDES DE AGUA P.I.M." xr:uid="{00000000-0004-0000-1F00-00000E000000}"/>
    <hyperlink ref="P2" location="PLAYON VERT!A1" display="PAVIMENTACION ETAPA II-A" xr:uid="{00000000-0004-0000-1F00-00000F000000}"/>
    <hyperlink ref="Q2" location="VALLE AGRELO I y II!A1" display="PAVIMENTACION ETAPA II-B" xr:uid="{00000000-0004-0000-1F00-000010000000}"/>
    <hyperlink ref="R2" location="null!A1" display="INTERCAMBIADORES" xr:uid="{00000000-0004-0000-1F00-000011000000}"/>
    <hyperlink ref="S2" location="PAV ADMIN!A1" display="PAVIMENTO POR ADMINISTRACION" xr:uid="{00000000-0004-0000-1F00-000012000000}"/>
    <hyperlink ref="T2" location="COSTA ESP!A1" display="PERFORACION COSTA ESPERANZA" xr:uid="{00000000-0004-0000-1F00-000013000000}"/>
    <hyperlink ref="U2" location="FUERZA UNIDA!A1" display="CORDON CUNETA Y BANQUINA ETAPA 2" xr:uid="{00000000-0004-0000-1F00-000014000000}"/>
    <hyperlink ref="V2" location="null!A1" display="PAVIMENTO POR ADMINISTRACION 2020" xr:uid="{00000000-0004-0000-1F00-000015000000}"/>
    <hyperlink ref="W2" location="ZAPIOLA!A1" display="PAVIMENTO II C" xr:uid="{00000000-0004-0000-1F00-000016000000}"/>
    <hyperlink ref="X2" location="CLOACAS CHACRAS!A1" display="CLOACAS DE CHACRAS" xr:uid="{00000000-0004-0000-1F00-000017000000}"/>
    <hyperlink ref="Y2" location="COLEC JUJUY!A1" display="ILUMINACION PLAYA PARQUE CIVICO" xr:uid="{00000000-0004-0000-1F00-000018000000}"/>
    <hyperlink ref="Z2" location="REM. ELECT!A1" display="REMODELACIÓN INST. ELECTRICA E ILUMINACION INTERIOR - PARQUE CIVICO" xr:uid="{00000000-0004-0000-1F00-000019000000}"/>
    <hyperlink ref="AA2" location="SUBT LMT!A1" display="TRASLADO Y SUBTERRANIZACION LMT" xr:uid="{00000000-0004-0000-1F00-00001A000000}"/>
    <hyperlink ref="AB2" location="CAMARA TRANSF!A1" display="CONSTRUCCION CAMARA TRANSFORMADORA A NIVEL" xr:uid="{00000000-0004-0000-1F00-00001B000000}"/>
    <hyperlink ref="AC2" location="AUMENTO POT!A1" display="AUMENTO POTENCIA EN PARQUE CIVICO" xr:uid="{00000000-0004-0000-1F00-00001C000000}"/>
    <hyperlink ref="AD2" location="ASC. PARQ!A1" display="'ASC. PARQ'!A1" xr:uid="{00000000-0004-0000-1F00-00001D000000}"/>
    <hyperlink ref="AE2" location="ALUMB PARQ!A1" display="REFUNCIONALIZACION ALUMBRADO PUBLICO PARQUE CIVICO" xr:uid="{00000000-0004-0000-1F00-00001E000000}"/>
    <hyperlink ref="AF2" location="ALUMB BOEDO!A1" display="ALUMBRADO PUBLICO CALLE BOEDO Y TANNAT" xr:uid="{00000000-0004-0000-1F00-00001F000000}"/>
    <hyperlink ref="AG2" location="null!A1" display="ABASTECIMIENTO AGUA POTABLE P.I.M." xr:uid="{00000000-0004-0000-1F00-000020000000}"/>
    <hyperlink ref="AH2" location="Bº JARDÍN!A1" display="RENOVACION URBANA BOULEBARD LIBERTAD" xr:uid="{00000000-0004-0000-1F00-000021000000}"/>
    <hyperlink ref="AI2" location="null!A1" display="PAVIMENTO POR ADMINISTRACION 2020 - 2da etapa" xr:uid="{00000000-0004-0000-1F00-000022000000}"/>
  </hyperlink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68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85" t="s">
        <v>69</v>
      </c>
      <c r="E5" s="86">
        <v>44485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>
        <v>15012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8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8960000</v>
      </c>
      <c r="H13" s="22">
        <f>K51</f>
        <v>629589.32999999996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G14" si="1">E12-E13</f>
        <v>#REF!</v>
      </c>
      <c r="F14" s="205" t="e">
        <f t="shared" si="1"/>
        <v>#REF!</v>
      </c>
      <c r="G14" s="22" t="e">
        <f t="shared" si="1"/>
        <v>#REF!</v>
      </c>
      <c r="H14" s="22">
        <v>0</v>
      </c>
      <c r="I14" s="22" t="e">
        <f t="shared" ref="I14:J14" si="2">I12-I13</f>
        <v>#REF!</v>
      </c>
      <c r="J14" s="340" t="e">
        <f t="shared" si="2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3">E11-E12</f>
        <v>#REF!</v>
      </c>
      <c r="F15" s="206" t="e">
        <f t="shared" si="3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4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4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5">HLOOKUP($O$3,#REF!,21+A22,0)</f>
        <v>#REF!</v>
      </c>
      <c r="C22" s="40" t="e">
        <f t="shared" ref="C22:C38" si="6">IF(B22&lt;&gt;"",,A22)</f>
        <v>#REF!</v>
      </c>
      <c r="D22" s="41">
        <v>1</v>
      </c>
      <c r="E22" s="243" t="e">
        <f t="shared" ref="E22:E30" si="7">HLOOKUP($O$3,#REF!,42+D22,0)</f>
        <v>#REF!</v>
      </c>
      <c r="F22" s="42" t="e">
        <f>IF(E22=0,0,$G$7)</f>
        <v>#REF!</v>
      </c>
      <c r="G22" s="232" t="e">
        <f t="shared" ref="G22:G38" si="8">HLOOKUP($O$3,#REF!,63+D22,0)</f>
        <v>#REF!</v>
      </c>
      <c r="H22" s="233" t="e">
        <f t="shared" ref="H22:H38" si="9">HLOOKUP($O$3,#REF!,84+D22,0)</f>
        <v>#REF!</v>
      </c>
      <c r="I22" s="234" t="e">
        <f t="shared" si="4"/>
        <v>#REF!</v>
      </c>
      <c r="J22" s="218">
        <v>44417</v>
      </c>
      <c r="K22" s="235">
        <v>764960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>
        <v>0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5"/>
        <v>#REF!</v>
      </c>
      <c r="C23" s="40" t="e">
        <f t="shared" si="6"/>
        <v>#REF!</v>
      </c>
      <c r="D23" s="41">
        <v>2</v>
      </c>
      <c r="E23" s="243" t="e">
        <f t="shared" si="7"/>
        <v>#REF!</v>
      </c>
      <c r="F23" s="42" t="e">
        <f t="shared" ref="F23:F38" si="12">EOMONTH(F22,1)</f>
        <v>#REF!</v>
      </c>
      <c r="G23" s="232" t="e">
        <f t="shared" si="8"/>
        <v>#REF!</v>
      </c>
      <c r="H23" s="233" t="e">
        <f t="shared" si="9"/>
        <v>#REF!</v>
      </c>
      <c r="I23" s="234" t="e">
        <f t="shared" si="4"/>
        <v>#REF!</v>
      </c>
      <c r="J23" s="218">
        <v>44449</v>
      </c>
      <c r="K23" s="235">
        <v>2524058.88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ref="Q23:Q38" si="13">IF(E23=0,,I23/E23)</f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5"/>
        <v>#REF!</v>
      </c>
      <c r="C24" s="40" t="e">
        <f t="shared" si="6"/>
        <v>#REF!</v>
      </c>
      <c r="D24" s="41">
        <v>3</v>
      </c>
      <c r="E24" s="243" t="e">
        <f t="shared" si="7"/>
        <v>#REF!</v>
      </c>
      <c r="F24" s="42" t="e">
        <f t="shared" si="12"/>
        <v>#REF!</v>
      </c>
      <c r="G24" s="232" t="e">
        <f t="shared" si="8"/>
        <v>#REF!</v>
      </c>
      <c r="H24" s="233" t="e">
        <f t="shared" si="9"/>
        <v>#REF!</v>
      </c>
      <c r="I24" s="234" t="e">
        <f t="shared" si="4"/>
        <v>#REF!</v>
      </c>
      <c r="J24" s="218">
        <v>44475</v>
      </c>
      <c r="K24" s="235">
        <v>695564.80000000005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13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5"/>
        <v>#REF!</v>
      </c>
      <c r="C25" s="40" t="e">
        <f t="shared" si="6"/>
        <v>#REF!</v>
      </c>
      <c r="D25" s="41">
        <v>4</v>
      </c>
      <c r="E25" s="243" t="e">
        <f t="shared" si="7"/>
        <v>#REF!</v>
      </c>
      <c r="F25" s="42" t="e">
        <f t="shared" si="12"/>
        <v>#REF!</v>
      </c>
      <c r="G25" s="232" t="e">
        <f t="shared" si="8"/>
        <v>#REF!</v>
      </c>
      <c r="H25" s="233" t="e">
        <f t="shared" si="9"/>
        <v>#REF!</v>
      </c>
      <c r="I25" s="234" t="e">
        <f t="shared" si="4"/>
        <v>#REF!</v>
      </c>
      <c r="J25" s="218">
        <v>44511</v>
      </c>
      <c r="K25" s="235">
        <v>4975416.32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13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5"/>
        <v>#REF!</v>
      </c>
      <c r="C26" s="40" t="e">
        <f t="shared" si="6"/>
        <v>#REF!</v>
      </c>
      <c r="D26" s="41">
        <v>5</v>
      </c>
      <c r="E26" s="243" t="e">
        <f t="shared" si="7"/>
        <v>#REF!</v>
      </c>
      <c r="F26" s="42" t="e">
        <f t="shared" si="12"/>
        <v>#REF!</v>
      </c>
      <c r="G26" s="232" t="e">
        <f t="shared" si="8"/>
        <v>#REF!</v>
      </c>
      <c r="H26" s="233" t="e">
        <f t="shared" si="9"/>
        <v>#REF!</v>
      </c>
      <c r="I26" s="234" t="e">
        <f t="shared" si="4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13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5"/>
        <v>#REF!</v>
      </c>
      <c r="C27" s="40" t="e">
        <f t="shared" si="6"/>
        <v>#REF!</v>
      </c>
      <c r="D27" s="41">
        <v>6</v>
      </c>
      <c r="E27" s="243" t="e">
        <f t="shared" si="7"/>
        <v>#REF!</v>
      </c>
      <c r="F27" s="42" t="e">
        <f t="shared" si="12"/>
        <v>#REF!</v>
      </c>
      <c r="G27" s="232" t="e">
        <f t="shared" si="8"/>
        <v>#REF!</v>
      </c>
      <c r="H27" s="239" t="e">
        <f t="shared" si="9"/>
        <v>#REF!</v>
      </c>
      <c r="I27" s="234" t="e">
        <f t="shared" si="4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13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5"/>
        <v>#REF!</v>
      </c>
      <c r="C28" s="40" t="e">
        <f t="shared" si="6"/>
        <v>#REF!</v>
      </c>
      <c r="D28" s="41">
        <v>7</v>
      </c>
      <c r="E28" s="243" t="e">
        <f t="shared" si="7"/>
        <v>#REF!</v>
      </c>
      <c r="F28" s="42" t="e">
        <f t="shared" si="12"/>
        <v>#REF!</v>
      </c>
      <c r="G28" s="232" t="e">
        <f t="shared" si="8"/>
        <v>#REF!</v>
      </c>
      <c r="H28" s="239" t="e">
        <f t="shared" si="9"/>
        <v>#REF!</v>
      </c>
      <c r="I28" s="234" t="e">
        <f t="shared" si="4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13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5"/>
        <v>#REF!</v>
      </c>
      <c r="C29" s="40" t="e">
        <f t="shared" si="6"/>
        <v>#REF!</v>
      </c>
      <c r="D29" s="41">
        <v>8</v>
      </c>
      <c r="E29" s="243" t="e">
        <f t="shared" si="7"/>
        <v>#REF!</v>
      </c>
      <c r="F29" s="42" t="e">
        <f t="shared" si="12"/>
        <v>#REF!</v>
      </c>
      <c r="G29" s="232" t="e">
        <f t="shared" si="8"/>
        <v>#REF!</v>
      </c>
      <c r="H29" s="239" t="e">
        <f t="shared" si="9"/>
        <v>#REF!</v>
      </c>
      <c r="I29" s="234" t="e">
        <f t="shared" si="4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13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5"/>
        <v>#REF!</v>
      </c>
      <c r="C30" s="40" t="e">
        <f t="shared" si="6"/>
        <v>#REF!</v>
      </c>
      <c r="D30" s="41">
        <v>9</v>
      </c>
      <c r="E30" s="243" t="e">
        <f t="shared" si="7"/>
        <v>#REF!</v>
      </c>
      <c r="F30" s="42" t="e">
        <f t="shared" si="12"/>
        <v>#REF!</v>
      </c>
      <c r="G30" s="232" t="e">
        <f t="shared" si="8"/>
        <v>#REF!</v>
      </c>
      <c r="H30" s="239" t="e">
        <f t="shared" si="9"/>
        <v>#REF!</v>
      </c>
      <c r="I30" s="234" t="e">
        <f t="shared" si="4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13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5"/>
        <v>#REF!</v>
      </c>
      <c r="C31" s="40" t="e">
        <f t="shared" si="6"/>
        <v>#REF!</v>
      </c>
      <c r="D31" s="41">
        <v>10</v>
      </c>
      <c r="E31" s="243"/>
      <c r="F31" s="42" t="e">
        <f t="shared" si="12"/>
        <v>#REF!</v>
      </c>
      <c r="G31" s="232" t="e">
        <f t="shared" si="8"/>
        <v>#REF!</v>
      </c>
      <c r="H31" s="239" t="e">
        <f t="shared" si="9"/>
        <v>#REF!</v>
      </c>
      <c r="I31" s="234" t="e">
        <f t="shared" si="4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>
        <f t="shared" si="13"/>
        <v>0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5"/>
        <v>#REF!</v>
      </c>
      <c r="C32" s="40" t="e">
        <f t="shared" si="6"/>
        <v>#REF!</v>
      </c>
      <c r="D32" s="41">
        <v>11</v>
      </c>
      <c r="E32" s="243" t="e">
        <f t="shared" ref="E32:E38" si="14">HLOOKUP($O$3,#REF!,42+D32,0)</f>
        <v>#REF!</v>
      </c>
      <c r="F32" s="42" t="e">
        <f t="shared" si="12"/>
        <v>#REF!</v>
      </c>
      <c r="G32" s="232" t="e">
        <f t="shared" si="8"/>
        <v>#REF!</v>
      </c>
      <c r="H32" s="239" t="e">
        <f t="shared" si="9"/>
        <v>#REF!</v>
      </c>
      <c r="I32" s="234" t="e">
        <f t="shared" si="4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13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5"/>
        <v>#REF!</v>
      </c>
      <c r="C33" s="40" t="e">
        <f t="shared" si="6"/>
        <v>#REF!</v>
      </c>
      <c r="D33" s="41">
        <v>12</v>
      </c>
      <c r="E33" s="243" t="e">
        <f t="shared" si="14"/>
        <v>#REF!</v>
      </c>
      <c r="F33" s="42" t="e">
        <f t="shared" si="12"/>
        <v>#REF!</v>
      </c>
      <c r="G33" s="232" t="e">
        <f t="shared" si="8"/>
        <v>#REF!</v>
      </c>
      <c r="H33" s="239" t="e">
        <f t="shared" si="9"/>
        <v>#REF!</v>
      </c>
      <c r="I33" s="234" t="e">
        <f t="shared" si="4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13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5"/>
        <v>#REF!</v>
      </c>
      <c r="C34" s="40" t="e">
        <f t="shared" si="6"/>
        <v>#REF!</v>
      </c>
      <c r="D34" s="41">
        <v>13</v>
      </c>
      <c r="E34" s="243" t="e">
        <f t="shared" si="14"/>
        <v>#REF!</v>
      </c>
      <c r="F34" s="42" t="e">
        <f t="shared" si="12"/>
        <v>#REF!</v>
      </c>
      <c r="G34" s="232" t="e">
        <f t="shared" si="8"/>
        <v>#REF!</v>
      </c>
      <c r="H34" s="239" t="e">
        <f t="shared" si="9"/>
        <v>#REF!</v>
      </c>
      <c r="I34" s="234" t="e">
        <f t="shared" si="4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13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5"/>
        <v>#REF!</v>
      </c>
      <c r="C35" s="40" t="e">
        <f t="shared" si="6"/>
        <v>#REF!</v>
      </c>
      <c r="D35" s="41">
        <v>14</v>
      </c>
      <c r="E35" s="243" t="e">
        <f t="shared" si="14"/>
        <v>#REF!</v>
      </c>
      <c r="F35" s="42" t="e">
        <f t="shared" si="12"/>
        <v>#REF!</v>
      </c>
      <c r="G35" s="232" t="e">
        <f t="shared" si="8"/>
        <v>#REF!</v>
      </c>
      <c r="H35" s="239" t="e">
        <f t="shared" si="9"/>
        <v>#REF!</v>
      </c>
      <c r="I35" s="234" t="e">
        <f t="shared" si="4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13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5"/>
        <v>#REF!</v>
      </c>
      <c r="C36" s="40" t="e">
        <f t="shared" si="6"/>
        <v>#REF!</v>
      </c>
      <c r="D36" s="41">
        <v>15</v>
      </c>
      <c r="E36" s="243" t="e">
        <f t="shared" si="14"/>
        <v>#REF!</v>
      </c>
      <c r="F36" s="42" t="e">
        <f t="shared" si="12"/>
        <v>#REF!</v>
      </c>
      <c r="G36" s="232" t="e">
        <f t="shared" si="8"/>
        <v>#REF!</v>
      </c>
      <c r="H36" s="239" t="e">
        <f t="shared" si="9"/>
        <v>#REF!</v>
      </c>
      <c r="I36" s="234" t="e">
        <f t="shared" si="4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13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5"/>
        <v>#REF!</v>
      </c>
      <c r="C37" s="40" t="e">
        <f t="shared" si="6"/>
        <v>#REF!</v>
      </c>
      <c r="D37" s="41">
        <v>16</v>
      </c>
      <c r="E37" s="231" t="e">
        <f t="shared" si="14"/>
        <v>#REF!</v>
      </c>
      <c r="F37" s="88" t="e">
        <f t="shared" si="12"/>
        <v>#REF!</v>
      </c>
      <c r="G37" s="232" t="e">
        <f t="shared" si="8"/>
        <v>#REF!</v>
      </c>
      <c r="H37" s="239" t="e">
        <f t="shared" si="9"/>
        <v>#REF!</v>
      </c>
      <c r="I37" s="234" t="e">
        <f t="shared" si="4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13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5"/>
        <v>#REF!</v>
      </c>
      <c r="C38" s="40" t="e">
        <f t="shared" si="6"/>
        <v>#REF!</v>
      </c>
      <c r="D38" s="41">
        <v>17</v>
      </c>
      <c r="E38" s="243" t="e">
        <f t="shared" si="14"/>
        <v>#REF!</v>
      </c>
      <c r="F38" s="42" t="e">
        <f t="shared" si="12"/>
        <v>#REF!</v>
      </c>
      <c r="G38" s="232" t="e">
        <f t="shared" si="8"/>
        <v>#REF!</v>
      </c>
      <c r="H38" s="239" t="e">
        <f t="shared" si="9"/>
        <v>#REF!</v>
      </c>
      <c r="I38" s="234" t="e">
        <f t="shared" si="4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13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>
        <f>SUM(K22:K39)</f>
        <v>8960000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3" t="s">
        <v>58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7">HLOOKUP($O$3,#REF!,116+D46,0)</f>
        <v>#REF!</v>
      </c>
      <c r="F46" s="68"/>
      <c r="G46" s="232" t="e">
        <f t="shared" ref="G46:G49" si="18">HLOOKUP($O$3,#REF!,121+D46,0)</f>
        <v>#REF!</v>
      </c>
      <c r="H46" s="239" t="e">
        <f t="shared" ref="H46:H49" si="19">HLOOKUP($O$3,#REF!,126+D46,0)</f>
        <v>#REF!</v>
      </c>
      <c r="I46" s="234" t="e">
        <f t="shared" ref="I46:I49" si="20">G46+H46</f>
        <v>#REF!</v>
      </c>
      <c r="J46" s="218">
        <v>44518</v>
      </c>
      <c r="K46" s="235">
        <v>629589.32999999996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7"/>
        <v>#REF!</v>
      </c>
      <c r="F47" s="69"/>
      <c r="G47" s="232" t="e">
        <f t="shared" si="18"/>
        <v>#REF!</v>
      </c>
      <c r="H47" s="239" t="e">
        <f t="shared" si="19"/>
        <v>#REF!</v>
      </c>
      <c r="I47" s="234" t="e">
        <f t="shared" si="20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7"/>
        <v>#REF!</v>
      </c>
      <c r="F48" s="69"/>
      <c r="G48" s="232" t="e">
        <f t="shared" si="18"/>
        <v>#REF!</v>
      </c>
      <c r="H48" s="239" t="e">
        <f t="shared" si="19"/>
        <v>#REF!</v>
      </c>
      <c r="I48" s="234" t="e">
        <f t="shared" si="20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7"/>
        <v>#REF!</v>
      </c>
      <c r="F49" s="69"/>
      <c r="G49" s="232" t="e">
        <f t="shared" si="18"/>
        <v>#REF!</v>
      </c>
      <c r="H49" s="239" t="e">
        <f t="shared" si="19"/>
        <v>#REF!</v>
      </c>
      <c r="I49" s="234" t="e">
        <f t="shared" si="20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1">SUM(G46:G50)</f>
        <v>#REF!</v>
      </c>
      <c r="H51" s="49" t="e">
        <f t="shared" si="21"/>
        <v>#REF!</v>
      </c>
      <c r="I51" s="50" t="e">
        <f t="shared" si="21"/>
        <v>#REF!</v>
      </c>
      <c r="J51" s="51" t="s">
        <v>29</v>
      </c>
      <c r="K51" s="52">
        <f>SUM(K46:K50)</f>
        <v>629589.32999999996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2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2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2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2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3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3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3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3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 t="s">
        <v>70</v>
      </c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 t="s">
        <v>71</v>
      </c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84"/>
      <c r="Q84" s="84"/>
      <c r="R84" s="84"/>
      <c r="S84" s="4"/>
      <c r="T84" s="4"/>
      <c r="U84" s="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84"/>
      <c r="P85" s="84"/>
      <c r="Q85" s="84"/>
      <c r="R85" s="84"/>
      <c r="S85" s="4"/>
      <c r="T85" s="4"/>
      <c r="U85" s="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84"/>
      <c r="P86" s="84"/>
      <c r="Q86" s="84"/>
      <c r="R86" s="84"/>
      <c r="S86" s="4"/>
      <c r="T86" s="4"/>
      <c r="U86" s="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customHeight="1">
      <c r="A87" s="1"/>
      <c r="B87" s="4"/>
      <c r="C87" s="1"/>
      <c r="D87" s="4"/>
      <c r="E87" s="1"/>
      <c r="F87" s="319"/>
      <c r="G87" s="356"/>
      <c r="H87" s="1"/>
      <c r="I87" s="4"/>
      <c r="J87" s="1"/>
      <c r="K87" s="1"/>
      <c r="L87" s="1"/>
      <c r="M87" s="1"/>
      <c r="N87" s="1"/>
      <c r="O87" s="84"/>
      <c r="P87" s="84"/>
      <c r="Q87" s="84"/>
      <c r="R87" s="84"/>
      <c r="S87" s="4"/>
      <c r="T87" s="4"/>
      <c r="U87" s="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customHeight="1">
      <c r="A88" s="1"/>
      <c r="B88" s="4"/>
      <c r="C88" s="1"/>
      <c r="D88" s="4"/>
      <c r="E88" s="1"/>
      <c r="F88" s="3"/>
      <c r="G88" s="3"/>
      <c r="H88" s="1"/>
      <c r="I88" s="4"/>
      <c r="J88" s="1"/>
      <c r="K88" s="1"/>
      <c r="L88" s="1"/>
      <c r="M88" s="1"/>
      <c r="N88" s="1"/>
      <c r="O88" s="84"/>
      <c r="P88" s="84"/>
      <c r="Q88" s="84"/>
      <c r="R88" s="84"/>
      <c r="S88" s="4"/>
      <c r="T88" s="4"/>
      <c r="U88" s="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customHeight="1">
      <c r="A89" s="1"/>
      <c r="B89" s="4"/>
      <c r="C89" s="1"/>
      <c r="D89" s="4"/>
      <c r="E89" s="1"/>
      <c r="F89" s="4"/>
      <c r="G89" s="4"/>
      <c r="H89" s="4"/>
      <c r="I89" s="4"/>
      <c r="J89" s="1"/>
      <c r="K89" s="1"/>
      <c r="L89" s="1"/>
      <c r="M89" s="1"/>
      <c r="N89" s="1"/>
      <c r="O89" s="84"/>
      <c r="P89" s="84"/>
      <c r="Q89" s="84"/>
      <c r="R89" s="84"/>
      <c r="S89" s="4"/>
      <c r="T89" s="4"/>
      <c r="U89" s="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customHeight="1">
      <c r="A90" s="1"/>
      <c r="B90" s="4"/>
      <c r="C90" s="1"/>
      <c r="D90" s="4"/>
      <c r="E90" s="1"/>
      <c r="F90" s="44"/>
      <c r="G90" s="44"/>
      <c r="H90" s="44"/>
      <c r="I90" s="4"/>
      <c r="J90" s="1"/>
      <c r="K90" s="1"/>
      <c r="L90" s="1"/>
      <c r="M90" s="1"/>
      <c r="N90" s="1"/>
      <c r="O90" s="84"/>
      <c r="P90" s="84"/>
      <c r="Q90" s="84"/>
      <c r="R90" s="84"/>
      <c r="S90" s="4"/>
      <c r="T90" s="4"/>
      <c r="U90" s="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customHeight="1">
      <c r="A91" s="1"/>
      <c r="B91" s="4"/>
      <c r="C91" s="1"/>
      <c r="D91" s="4"/>
      <c r="E91" s="1"/>
      <c r="F91" s="1"/>
      <c r="G91" s="1"/>
      <c r="H91" s="1"/>
      <c r="I91" s="4"/>
      <c r="J91" s="1"/>
      <c r="K91" s="1"/>
      <c r="L91" s="1"/>
      <c r="M91" s="1"/>
      <c r="N91" s="1"/>
      <c r="O91" s="84"/>
      <c r="P91" s="84"/>
      <c r="Q91" s="84"/>
      <c r="R91" s="84"/>
      <c r="S91" s="4"/>
      <c r="T91" s="4"/>
      <c r="U91" s="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customHeight="1">
      <c r="A92" s="1"/>
      <c r="B92" s="4"/>
      <c r="C92" s="1"/>
      <c r="D92" s="4"/>
      <c r="E92" s="1"/>
      <c r="F92" s="319"/>
      <c r="G92" s="356"/>
      <c r="H92" s="1"/>
      <c r="I92" s="4"/>
      <c r="J92" s="1"/>
      <c r="K92" s="1"/>
      <c r="L92" s="1"/>
      <c r="M92" s="1"/>
      <c r="N92" s="1"/>
      <c r="O92" s="84"/>
      <c r="P92" s="84"/>
      <c r="Q92" s="84"/>
      <c r="R92" s="84"/>
      <c r="S92" s="4"/>
      <c r="T92" s="4"/>
      <c r="U92" s="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customHeight="1">
      <c r="A93" s="1"/>
      <c r="B93" s="4"/>
      <c r="C93" s="1"/>
      <c r="D93" s="4"/>
      <c r="E93" s="1"/>
      <c r="F93" s="3"/>
      <c r="G93" s="3"/>
      <c r="H93" s="1"/>
      <c r="I93" s="4"/>
      <c r="J93" s="1"/>
      <c r="K93" s="1"/>
      <c r="L93" s="1"/>
      <c r="M93" s="1"/>
      <c r="N93" s="1"/>
      <c r="O93" s="84"/>
      <c r="P93" s="84"/>
      <c r="Q93" s="84"/>
      <c r="R93" s="84"/>
      <c r="S93" s="4"/>
      <c r="T93" s="4"/>
      <c r="U93" s="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customHeight="1">
      <c r="A94" s="1"/>
      <c r="B94" s="4"/>
      <c r="C94" s="1"/>
      <c r="D94" s="4"/>
      <c r="E94" s="4"/>
      <c r="F94" s="4"/>
      <c r="G94" s="4"/>
      <c r="H94" s="4"/>
      <c r="I94" s="4"/>
      <c r="J94" s="1"/>
      <c r="K94" s="1"/>
      <c r="L94" s="1"/>
      <c r="M94" s="1"/>
      <c r="N94" s="1"/>
      <c r="O94" s="84"/>
      <c r="P94" s="84"/>
      <c r="Q94" s="84"/>
      <c r="R94" s="84"/>
      <c r="S94" s="4"/>
      <c r="T94" s="4"/>
      <c r="U94" s="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customHeight="1">
      <c r="A95" s="1"/>
      <c r="B95" s="4"/>
      <c r="C95" s="1"/>
      <c r="D95" s="4"/>
      <c r="E95" s="4"/>
      <c r="F95" s="1"/>
      <c r="G95" s="44"/>
      <c r="H95" s="44"/>
      <c r="I95" s="4"/>
      <c r="J95" s="1"/>
      <c r="K95" s="1"/>
      <c r="L95" s="1"/>
      <c r="M95" s="1"/>
      <c r="N95" s="1"/>
      <c r="O95" s="84"/>
      <c r="P95" s="84"/>
      <c r="Q95" s="84"/>
      <c r="R95" s="84"/>
      <c r="S95" s="4"/>
      <c r="T95" s="4"/>
      <c r="U95" s="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customHeight="1">
      <c r="A96" s="1"/>
      <c r="B96" s="4"/>
      <c r="C96" s="1"/>
      <c r="D96" s="4"/>
      <c r="E96" s="4"/>
      <c r="F96" s="1"/>
      <c r="G96" s="1"/>
      <c r="H96" s="1"/>
      <c r="I96" s="4"/>
      <c r="J96" s="1"/>
      <c r="K96" s="1"/>
      <c r="L96" s="1"/>
      <c r="M96" s="1"/>
      <c r="N96" s="1"/>
      <c r="O96" s="84"/>
      <c r="P96" s="84"/>
      <c r="Q96" s="84"/>
      <c r="R96" s="84"/>
      <c r="S96" s="4"/>
      <c r="T96" s="4"/>
      <c r="U96" s="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customHeight="1">
      <c r="A97" s="1"/>
      <c r="B97" s="4"/>
      <c r="C97" s="1"/>
      <c r="D97" s="4"/>
      <c r="E97" s="4"/>
      <c r="F97" s="319"/>
      <c r="G97" s="356"/>
      <c r="H97" s="1"/>
      <c r="I97" s="4"/>
      <c r="J97" s="1"/>
      <c r="K97" s="1"/>
      <c r="L97" s="1"/>
      <c r="M97" s="1"/>
      <c r="N97" s="1"/>
      <c r="O97" s="84"/>
      <c r="P97" s="84"/>
      <c r="Q97" s="84"/>
      <c r="R97" s="84"/>
      <c r="S97" s="4"/>
      <c r="T97" s="4"/>
      <c r="U97" s="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customHeight="1">
      <c r="A98" s="1"/>
      <c r="B98" s="4"/>
      <c r="C98" s="1"/>
      <c r="D98" s="4"/>
      <c r="E98" s="4"/>
      <c r="F98" s="3"/>
      <c r="G98" s="3"/>
      <c r="H98" s="1"/>
      <c r="I98" s="4"/>
      <c r="J98" s="1"/>
      <c r="K98" s="1"/>
      <c r="L98" s="1"/>
      <c r="M98" s="1"/>
      <c r="N98" s="1"/>
      <c r="O98" s="84"/>
      <c r="P98" s="84"/>
      <c r="Q98" s="84"/>
      <c r="R98" s="84"/>
      <c r="S98" s="4"/>
      <c r="T98" s="4"/>
      <c r="U98" s="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customHeight="1">
      <c r="A99" s="1"/>
      <c r="B99" s="4"/>
      <c r="C99" s="1"/>
      <c r="D99" s="4"/>
      <c r="E99" s="4"/>
      <c r="F99" s="4"/>
      <c r="G99" s="4"/>
      <c r="H99" s="4"/>
      <c r="I99" s="4"/>
      <c r="J99" s="1"/>
      <c r="K99" s="1"/>
      <c r="L99" s="1"/>
      <c r="M99" s="1"/>
      <c r="N99" s="1"/>
      <c r="O99" s="84"/>
      <c r="P99" s="84"/>
      <c r="Q99" s="84"/>
      <c r="R99" s="84"/>
      <c r="S99" s="4"/>
      <c r="T99" s="4"/>
      <c r="U99" s="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customHeight="1">
      <c r="A100" s="1"/>
      <c r="B100" s="1"/>
      <c r="C100" s="1"/>
      <c r="D100" s="1"/>
      <c r="E100" s="4"/>
      <c r="F100" s="1"/>
      <c r="G100" s="1"/>
      <c r="H100" s="1"/>
      <c r="I100" s="4"/>
      <c r="J100" s="1"/>
      <c r="K100" s="1"/>
      <c r="L100" s="1"/>
      <c r="M100" s="1"/>
      <c r="N100" s="1"/>
      <c r="O100" s="84"/>
      <c r="P100" s="84"/>
      <c r="Q100" s="84"/>
      <c r="R100" s="84"/>
      <c r="S100" s="4"/>
      <c r="T100" s="4"/>
      <c r="U100" s="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customHeight="1">
      <c r="A101" s="1"/>
      <c r="B101" s="1"/>
      <c r="C101" s="1"/>
      <c r="D101" s="1"/>
      <c r="E101" s="4"/>
      <c r="F101" s="1"/>
      <c r="G101" s="1"/>
      <c r="H101" s="1"/>
      <c r="I101" s="4"/>
      <c r="J101" s="1"/>
      <c r="K101" s="1"/>
      <c r="L101" s="1"/>
      <c r="M101" s="1"/>
      <c r="N101" s="1"/>
      <c r="O101" s="84"/>
      <c r="P101" s="84"/>
      <c r="Q101" s="84"/>
      <c r="R101" s="84"/>
      <c r="S101" s="4"/>
      <c r="T101" s="4"/>
      <c r="U101" s="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customHeight="1">
      <c r="A102" s="1"/>
      <c r="B102" s="1"/>
      <c r="C102" s="1"/>
      <c r="D102" s="1"/>
      <c r="E102" s="4"/>
      <c r="F102" s="1"/>
      <c r="G102" s="1"/>
      <c r="H102" s="1"/>
      <c r="I102" s="4"/>
      <c r="J102" s="1"/>
      <c r="K102" s="1"/>
      <c r="L102" s="1"/>
      <c r="M102" s="1"/>
      <c r="N102" s="1"/>
      <c r="O102" s="84"/>
      <c r="P102" s="84"/>
      <c r="Q102" s="84"/>
      <c r="R102" s="84"/>
      <c r="S102" s="4"/>
      <c r="T102" s="4"/>
      <c r="U102" s="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customHeight="1">
      <c r="A103" s="1"/>
      <c r="B103" s="1"/>
      <c r="C103" s="1"/>
      <c r="D103" s="1"/>
      <c r="E103" s="4"/>
      <c r="F103" s="89"/>
      <c r="G103" s="1"/>
      <c r="H103" s="1"/>
      <c r="I103" s="4"/>
      <c r="J103" s="1"/>
      <c r="K103" s="1"/>
      <c r="L103" s="1"/>
      <c r="M103" s="1"/>
      <c r="N103" s="1"/>
      <c r="O103" s="84"/>
      <c r="P103" s="84"/>
      <c r="Q103" s="84"/>
      <c r="R103" s="84"/>
      <c r="S103" s="4"/>
      <c r="T103" s="4"/>
      <c r="U103" s="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customHeight="1">
      <c r="A104" s="1"/>
      <c r="B104" s="1"/>
      <c r="C104" s="1"/>
      <c r="D104" s="1"/>
      <c r="E104" s="1"/>
      <c r="F104" s="44"/>
      <c r="G104" s="4"/>
      <c r="H104" s="4"/>
      <c r="I104" s="4"/>
      <c r="J104" s="1"/>
      <c r="K104" s="1"/>
      <c r="L104" s="1"/>
      <c r="M104" s="1"/>
      <c r="N104" s="1"/>
      <c r="O104" s="84"/>
      <c r="P104" s="84"/>
      <c r="Q104" s="84"/>
      <c r="R104" s="84"/>
      <c r="S104" s="4"/>
      <c r="T104" s="4"/>
      <c r="U104" s="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customHeight="1">
      <c r="A105" s="1"/>
      <c r="B105" s="1"/>
      <c r="C105" s="1"/>
      <c r="D105" s="1"/>
      <c r="E105" s="1"/>
      <c r="F105" s="44"/>
      <c r="G105" s="4"/>
      <c r="H105" s="4"/>
      <c r="I105" s="4"/>
      <c r="J105" s="1"/>
      <c r="K105" s="1"/>
      <c r="L105" s="1"/>
      <c r="M105" s="1"/>
      <c r="N105" s="1"/>
      <c r="O105" s="84"/>
      <c r="P105" s="84"/>
      <c r="Q105" s="84"/>
      <c r="R105" s="84"/>
      <c r="S105" s="4"/>
      <c r="T105" s="4"/>
      <c r="U105" s="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customHeight="1">
      <c r="A106" s="1"/>
      <c r="B106" s="1"/>
      <c r="C106" s="1"/>
      <c r="D106" s="1"/>
      <c r="E106" s="1"/>
      <c r="F106" s="44"/>
      <c r="G106" s="4"/>
      <c r="H106" s="4"/>
      <c r="I106" s="4"/>
      <c r="J106" s="1"/>
      <c r="K106" s="1"/>
      <c r="L106" s="1"/>
      <c r="M106" s="1"/>
      <c r="N106" s="1"/>
      <c r="O106" s="84"/>
      <c r="P106" s="84"/>
      <c r="Q106" s="84"/>
      <c r="R106" s="84"/>
      <c r="S106" s="4"/>
      <c r="T106" s="4"/>
      <c r="U106" s="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customHeight="1">
      <c r="A107" s="1"/>
      <c r="B107" s="1"/>
      <c r="C107" s="1"/>
      <c r="D107" s="1"/>
      <c r="E107" s="1"/>
      <c r="F107" s="44"/>
      <c r="G107" s="4"/>
      <c r="H107" s="4"/>
      <c r="I107" s="4"/>
      <c r="J107" s="1"/>
      <c r="K107" s="1"/>
      <c r="L107" s="1"/>
      <c r="M107" s="1"/>
      <c r="N107" s="1"/>
      <c r="O107" s="84"/>
      <c r="P107" s="84"/>
      <c r="Q107" s="84"/>
      <c r="R107" s="84"/>
      <c r="S107" s="4"/>
      <c r="T107" s="4"/>
      <c r="U107" s="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customHeight="1">
      <c r="A108" s="1"/>
      <c r="B108" s="1"/>
      <c r="C108" s="1"/>
      <c r="D108" s="1"/>
      <c r="E108" s="1"/>
      <c r="F108" s="44"/>
      <c r="G108" s="4"/>
      <c r="H108" s="4"/>
      <c r="I108" s="4"/>
      <c r="J108" s="1"/>
      <c r="K108" s="1"/>
      <c r="L108" s="1"/>
      <c r="M108" s="1"/>
      <c r="N108" s="1"/>
      <c r="O108" s="84"/>
      <c r="P108" s="84"/>
      <c r="Q108" s="84"/>
      <c r="R108" s="84"/>
      <c r="S108" s="4"/>
      <c r="T108" s="4"/>
      <c r="U108" s="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customHeight="1">
      <c r="A109" s="1"/>
      <c r="B109" s="1"/>
      <c r="C109" s="1"/>
      <c r="D109" s="1"/>
      <c r="E109" s="1"/>
      <c r="F109" s="44"/>
      <c r="G109" s="4"/>
      <c r="H109" s="4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44"/>
      <c r="G110" s="4"/>
      <c r="H110" s="4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44"/>
      <c r="G111" s="4"/>
      <c r="H111" s="4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44"/>
      <c r="G112" s="4"/>
      <c r="H112" s="4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44"/>
      <c r="G113" s="4"/>
      <c r="H113" s="4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44"/>
      <c r="G114" s="4"/>
      <c r="H114" s="4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44"/>
      <c r="G115" s="4"/>
      <c r="H115" s="4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44"/>
      <c r="G116" s="4"/>
      <c r="H116" s="4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44"/>
      <c r="G117" s="4"/>
      <c r="H117" s="4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44"/>
      <c r="G118" s="4"/>
      <c r="H118" s="4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44"/>
      <c r="G119" s="4"/>
      <c r="H119" s="4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44"/>
      <c r="G120" s="4"/>
      <c r="H120" s="4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44"/>
      <c r="G121" s="4"/>
      <c r="H121" s="4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346"/>
      <c r="G123" s="347"/>
      <c r="H123" s="347"/>
      <c r="I123" s="348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356"/>
      <c r="G124" s="356"/>
      <c r="H124" s="356"/>
      <c r="I124" s="356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>
      <c r="A275" s="1"/>
      <c r="B275" s="1"/>
      <c r="C275" s="1"/>
      <c r="D275" s="1"/>
      <c r="E275" s="1"/>
      <c r="F275" s="1"/>
      <c r="G275" s="1"/>
      <c r="H275" s="1"/>
      <c r="I275" s="4"/>
      <c r="J275" s="1"/>
      <c r="K275" s="1"/>
      <c r="L275" s="1"/>
      <c r="M275" s="1"/>
      <c r="N275" s="1"/>
      <c r="O275" s="1"/>
      <c r="P275" s="1"/>
      <c r="Q275" s="1"/>
      <c r="R275" s="1"/>
      <c r="S275" s="4"/>
      <c r="T275" s="4"/>
      <c r="U275" s="4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.75" customHeight="1">
      <c r="A276" s="1"/>
      <c r="B276" s="1"/>
      <c r="C276" s="1"/>
      <c r="D276" s="1"/>
      <c r="E276" s="1"/>
      <c r="F276" s="1"/>
      <c r="G276" s="1"/>
      <c r="H276" s="1"/>
      <c r="I276" s="4"/>
      <c r="J276" s="1"/>
      <c r="K276" s="1"/>
      <c r="L276" s="1"/>
      <c r="M276" s="1"/>
      <c r="N276" s="1"/>
      <c r="O276" s="1"/>
      <c r="P276" s="1"/>
      <c r="Q276" s="1"/>
      <c r="R276" s="1"/>
      <c r="S276" s="4"/>
      <c r="T276" s="4"/>
      <c r="U276" s="4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.75" customHeight="1">
      <c r="A277" s="1"/>
      <c r="B277" s="1"/>
      <c r="C277" s="1"/>
      <c r="D277" s="1"/>
      <c r="E277" s="1"/>
      <c r="F277" s="1"/>
      <c r="G277" s="1"/>
      <c r="H277" s="1"/>
      <c r="I277" s="4"/>
      <c r="J277" s="1"/>
      <c r="K277" s="1"/>
      <c r="L277" s="1"/>
      <c r="M277" s="1"/>
      <c r="N277" s="1"/>
      <c r="O277" s="1"/>
      <c r="P277" s="1"/>
      <c r="Q277" s="1"/>
      <c r="R277" s="1"/>
      <c r="S277" s="4"/>
      <c r="T277" s="4"/>
      <c r="U277" s="4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5">
    <mergeCell ref="F123:F124"/>
    <mergeCell ref="G123:G124"/>
    <mergeCell ref="H123:H124"/>
    <mergeCell ref="I123:I124"/>
    <mergeCell ref="F82:G82"/>
    <mergeCell ref="H82:I82"/>
    <mergeCell ref="F83:G83"/>
    <mergeCell ref="H83:I83"/>
    <mergeCell ref="L84:M84"/>
    <mergeCell ref="N84:O84"/>
    <mergeCell ref="F87:G87"/>
    <mergeCell ref="F92:G92"/>
    <mergeCell ref="F97:G97"/>
    <mergeCell ref="F81:G81"/>
    <mergeCell ref="H81:I81"/>
    <mergeCell ref="G44:I44"/>
    <mergeCell ref="J44:O44"/>
    <mergeCell ref="J45:K45"/>
    <mergeCell ref="L45:M45"/>
    <mergeCell ref="N45:O45"/>
    <mergeCell ref="N51:O51"/>
    <mergeCell ref="N52:O52"/>
    <mergeCell ref="N56:O56"/>
    <mergeCell ref="D65:O65"/>
    <mergeCell ref="D66:F66"/>
    <mergeCell ref="G66:I66"/>
    <mergeCell ref="J66:O66"/>
    <mergeCell ref="J67:K67"/>
    <mergeCell ref="L67:M67"/>
    <mergeCell ref="N67:O67"/>
    <mergeCell ref="F52:H52"/>
    <mergeCell ref="D54:O54"/>
    <mergeCell ref="D55:F55"/>
    <mergeCell ref="F80:G80"/>
    <mergeCell ref="H80:I80"/>
    <mergeCell ref="L51:M51"/>
    <mergeCell ref="L52:M52"/>
    <mergeCell ref="L62:M62"/>
    <mergeCell ref="N62:O62"/>
    <mergeCell ref="L63:M63"/>
    <mergeCell ref="N63:O63"/>
    <mergeCell ref="N73:O73"/>
    <mergeCell ref="N74:O74"/>
    <mergeCell ref="L73:M73"/>
    <mergeCell ref="L74:M74"/>
    <mergeCell ref="D76:O76"/>
    <mergeCell ref="D77:I77"/>
    <mergeCell ref="J77:O77"/>
    <mergeCell ref="H78:I78"/>
    <mergeCell ref="N78:O78"/>
    <mergeCell ref="G55:I55"/>
    <mergeCell ref="J55:O55"/>
    <mergeCell ref="J56:K56"/>
    <mergeCell ref="L56:M56"/>
    <mergeCell ref="J78:K78"/>
    <mergeCell ref="L78:M78"/>
    <mergeCell ref="F78:G78"/>
    <mergeCell ref="L40:M40"/>
    <mergeCell ref="N40:O40"/>
    <mergeCell ref="F41:H41"/>
    <mergeCell ref="L41:M41"/>
    <mergeCell ref="N41:O41"/>
    <mergeCell ref="J19:K19"/>
    <mergeCell ref="L19:M19"/>
    <mergeCell ref="N19:O19"/>
    <mergeCell ref="F79:G79"/>
    <mergeCell ref="H79:I79"/>
    <mergeCell ref="D43:O43"/>
    <mergeCell ref="D44:F44"/>
    <mergeCell ref="Q19:T19"/>
    <mergeCell ref="J15:K15"/>
    <mergeCell ref="L15:M15"/>
    <mergeCell ref="N15:O15"/>
    <mergeCell ref="D17:O17"/>
    <mergeCell ref="D18:F18"/>
    <mergeCell ref="G18:I18"/>
    <mergeCell ref="J18:O1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2:K12"/>
    <mergeCell ref="J13:K13"/>
    <mergeCell ref="L13:M13"/>
    <mergeCell ref="N13:O13"/>
    <mergeCell ref="J14:K14"/>
    <mergeCell ref="L14:M14"/>
    <mergeCell ref="N14:O1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</mergeCells>
  <conditionalFormatting sqref="N7">
    <cfRule type="cellIs" dxfId="474" priority="1" operator="equal">
      <formula>"EN EJECUCIÓN"</formula>
    </cfRule>
  </conditionalFormatting>
  <conditionalFormatting sqref="E5">
    <cfRule type="expression" dxfId="473" priority="2">
      <formula>IF(TODAY()&gt;=E5+355,1,0)</formula>
    </cfRule>
  </conditionalFormatting>
  <conditionalFormatting sqref="E22:E42 E45:E53 E56:E64 E67:E71">
    <cfRule type="expression" dxfId="472" priority="3">
      <formula>IF(K22:K71="DEV",1,IF(K22:K71="no pago",1,0))</formula>
    </cfRule>
  </conditionalFormatting>
  <conditionalFormatting sqref="G22:G40 G42 G44:G51 G53 G55:G64 G66:G71">
    <cfRule type="expression" dxfId="471" priority="4">
      <formula>IF(M22:M71="DEV",1,IF(M22:M71="no pago",1,0))</formula>
    </cfRule>
  </conditionalFormatting>
  <conditionalFormatting sqref="H22:H40 H42 H45:H51 H53 H56:H64 H67:H71">
    <cfRule type="expression" dxfId="470" priority="5">
      <formula>IF(O22:O71="DEV",1,IF(O22:O71="no pago",1,0))</formula>
    </cfRule>
  </conditionalFormatting>
  <conditionalFormatting sqref="K20:K38">
    <cfRule type="cellIs" dxfId="469" priority="6" operator="lessThan">
      <formula>E20:E28</formula>
    </cfRule>
  </conditionalFormatting>
  <conditionalFormatting sqref="K46:K49 K68:K71">
    <cfRule type="cellIs" dxfId="468" priority="7" operator="lessThan">
      <formula>E46:E49</formula>
    </cfRule>
  </conditionalFormatting>
  <conditionalFormatting sqref="K57:K60">
    <cfRule type="cellIs" dxfId="467" priority="8" operator="lessThan">
      <formula>E57:E60</formula>
    </cfRule>
  </conditionalFormatting>
  <conditionalFormatting sqref="K68:K71">
    <cfRule type="cellIs" dxfId="466" priority="9" operator="lessThan">
      <formula>E68:E71</formula>
    </cfRule>
  </conditionalFormatting>
  <conditionalFormatting sqref="J20:O39 J46:O49 J57:O60 J68:O71">
    <cfRule type="cellIs" dxfId="465" priority="10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464" priority="11" operator="equal">
      <formula>"DEV"</formula>
    </cfRule>
  </conditionalFormatting>
  <conditionalFormatting sqref="K20:K38 K46:K49 K57:K60 K68:K71 K80:K82 M20:M38 M46:M49 M57:M60 M68:M71 O20:O38 O46:O49 O57:O60 O68:O71">
    <cfRule type="cellIs" dxfId="463" priority="12" operator="equal">
      <formula>"no pago"</formula>
    </cfRule>
  </conditionalFormatting>
  <conditionalFormatting sqref="B1:D1 B2:E2">
    <cfRule type="expression" dxfId="462" priority="13">
      <formula>$E$1="NO"</formula>
    </cfRule>
  </conditionalFormatting>
  <conditionalFormatting sqref="B1:D1 B2:E2">
    <cfRule type="expression" dxfId="461" priority="14">
      <formula>$E$1="SI"</formula>
    </cfRule>
  </conditionalFormatting>
  <conditionalFormatting sqref="F1">
    <cfRule type="expression" dxfId="460" priority="15">
      <formula>$E$1="NO"</formula>
    </cfRule>
  </conditionalFormatting>
  <conditionalFormatting sqref="F1">
    <cfRule type="expression" dxfId="459" priority="16">
      <formula>$E$1="SI"</formula>
    </cfRule>
  </conditionalFormatting>
  <conditionalFormatting sqref="G104:H121">
    <cfRule type="cellIs" dxfId="458" priority="17" operator="notEqual">
      <formula>0</formula>
    </cfRule>
  </conditionalFormatting>
  <conditionalFormatting sqref="N7:O8">
    <cfRule type="cellIs" dxfId="457" priority="18" operator="equal">
      <formula>"PARALIZADA"</formula>
    </cfRule>
  </conditionalFormatting>
  <conditionalFormatting sqref="N7:O8">
    <cfRule type="cellIs" dxfId="456" priority="19" operator="equal">
      <formula>"EN EJECUCION"</formula>
    </cfRule>
  </conditionalFormatting>
  <conditionalFormatting sqref="N7:O8">
    <cfRule type="cellIs" dxfId="455" priority="20" operator="equal">
      <formula>"TERMINADA"</formula>
    </cfRule>
  </conditionalFormatting>
  <conditionalFormatting sqref="N7:O8">
    <cfRule type="cellIs" dxfId="454" priority="21" operator="equal">
      <formula>"COMPLETADA"</formula>
    </cfRule>
  </conditionalFormatting>
  <hyperlinks>
    <hyperlink ref="O1" location="null!A1" display="&lt; VOLVER" xr:uid="{00000000-0004-0000-0300-000000000000}"/>
    <hyperlink ref="E3" location="PLAYON VERT!A1" display="PLAYON VERTIENTES" xr:uid="{00000000-0004-0000-0300-000001000000}"/>
    <hyperlink ref="Q3" location="null!A1" display="'BASE DATOS'!A1" xr:uid="{00000000-0004-0000-03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72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44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6.5" customHeight="1">
      <c r="A5" s="1"/>
      <c r="B5" s="1"/>
      <c r="C5" s="1"/>
      <c r="D5" s="85" t="s">
        <v>69</v>
      </c>
      <c r="E5" s="90"/>
      <c r="F5" s="12" t="s">
        <v>6</v>
      </c>
      <c r="G5" s="91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2576493.13</v>
      </c>
      <c r="H13" s="22">
        <f>K51</f>
        <v>182459.84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44319</v>
      </c>
      <c r="K22" s="235">
        <v>2576493.13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9">IF(E22=0,,I22/E22)</f>
        <v>#REF!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 t="s">
        <v>45</v>
      </c>
      <c r="K23" s="235" t="s">
        <v>46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9"/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 t="s">
        <v>45</v>
      </c>
      <c r="K24" s="235" t="s">
        <v>46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9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45</v>
      </c>
      <c r="K25" s="235" t="s">
        <v>46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9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9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9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9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9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9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9"/>
        <v>#REF!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9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9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9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9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9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42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9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9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2576493.13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92" t="e">
        <f>746843.24+#REF!</f>
        <v>#REF!</v>
      </c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>
        <v>44405</v>
      </c>
      <c r="K46" s="235">
        <v>182459.84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182459.84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453" priority="1">
      <formula>IF(TODAY()&gt;=E5+355,1,0)</formula>
    </cfRule>
  </conditionalFormatting>
  <conditionalFormatting sqref="E22:E42 E45:E53 E56:E64 E67:E71">
    <cfRule type="expression" dxfId="452" priority="2">
      <formula>IF(K22:K71="DEV",1,IF(K22:K71="no pago",1,0))</formula>
    </cfRule>
  </conditionalFormatting>
  <conditionalFormatting sqref="G22:G40 G42 G44:G51 G53 G55:G64 G66:G71">
    <cfRule type="expression" dxfId="451" priority="3">
      <formula>IF(M22:M71="DEV",1,IF(M22:M71="no pago",1,0))</formula>
    </cfRule>
  </conditionalFormatting>
  <conditionalFormatting sqref="H22:H40 H42 H45:H51 H53 H56:H64 H67:H71">
    <cfRule type="expression" dxfId="450" priority="4">
      <formula>IF(O22:O71="DEV",1,IF(O22:O71="no pago",1,0))</formula>
    </cfRule>
  </conditionalFormatting>
  <conditionalFormatting sqref="K20:K38">
    <cfRule type="cellIs" dxfId="449" priority="5" operator="lessThan">
      <formula>E20:E28</formula>
    </cfRule>
  </conditionalFormatting>
  <conditionalFormatting sqref="K46:K49 K68:K71">
    <cfRule type="cellIs" dxfId="448" priority="6" operator="lessThan">
      <formula>E46:E49</formula>
    </cfRule>
  </conditionalFormatting>
  <conditionalFormatting sqref="K57:K60">
    <cfRule type="cellIs" dxfId="447" priority="7" operator="lessThan">
      <formula>E57:E60</formula>
    </cfRule>
  </conditionalFormatting>
  <conditionalFormatting sqref="K68:K71">
    <cfRule type="cellIs" dxfId="446" priority="8" operator="lessThan">
      <formula>E68:E71</formula>
    </cfRule>
  </conditionalFormatting>
  <conditionalFormatting sqref="J20:O39 J46:O49 J57:O60 J68:O71">
    <cfRule type="cellIs" dxfId="445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444" priority="10" operator="equal">
      <formula>"DEV"</formula>
    </cfRule>
  </conditionalFormatting>
  <conditionalFormatting sqref="K20:K38 K46:K49 K57:K60 K68:K71 K80:K82 M20:M38 M46:M49 M57:M60 M68:M71 O20:O38 O46:O49 O57:O60 O68:O71">
    <cfRule type="cellIs" dxfId="443" priority="11" operator="equal">
      <formula>"no pago"</formula>
    </cfRule>
  </conditionalFormatting>
  <conditionalFormatting sqref="B1:D1 B2:E2">
    <cfRule type="expression" dxfId="442" priority="12">
      <formula>$E$1="NO"</formula>
    </cfRule>
  </conditionalFormatting>
  <conditionalFormatting sqref="B1:D1 B2:E2">
    <cfRule type="expression" dxfId="441" priority="13">
      <formula>$E$1="SI"</formula>
    </cfRule>
  </conditionalFormatting>
  <conditionalFormatting sqref="F1">
    <cfRule type="expression" dxfId="440" priority="14">
      <formula>$E$1="NO"</formula>
    </cfRule>
  </conditionalFormatting>
  <conditionalFormatting sqref="F1">
    <cfRule type="expression" dxfId="439" priority="15">
      <formula>$E$1="SI"</formula>
    </cfRule>
  </conditionalFormatting>
  <conditionalFormatting sqref="N7:O8">
    <cfRule type="cellIs" dxfId="438" priority="16" operator="equal">
      <formula>"PARALIZADA"</formula>
    </cfRule>
  </conditionalFormatting>
  <conditionalFormatting sqref="N7:O8">
    <cfRule type="cellIs" dxfId="437" priority="17" operator="equal">
      <formula>"EN EJECUCION"</formula>
    </cfRule>
  </conditionalFormatting>
  <conditionalFormatting sqref="N7:O8">
    <cfRule type="cellIs" dxfId="436" priority="18" operator="equal">
      <formula>"TERMINADA"</formula>
    </cfRule>
  </conditionalFormatting>
  <conditionalFormatting sqref="N7:O8">
    <cfRule type="cellIs" dxfId="435" priority="19" operator="equal">
      <formula>"COMPLETADA"</formula>
    </cfRule>
  </conditionalFormatting>
  <hyperlinks>
    <hyperlink ref="O1" location="null!A1" display="&lt; VOLVER" xr:uid="{00000000-0004-0000-0400-000000000000}"/>
    <hyperlink ref="E3" location="VALLE AGRELO I y II!A1" display="RENOVACIÓN DE CONEXIONES VALLE AGRELO I y II" xr:uid="{00000000-0004-0000-0400-000001000000}"/>
    <hyperlink ref="Q3" location="null!A1" display="'BASE DATOS'!A1" xr:uid="{00000000-0004-0000-04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74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45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85" t="s">
        <v>69</v>
      </c>
      <c r="E5" s="93">
        <v>43630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94">
        <v>1276015.94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1548387.77</v>
      </c>
      <c r="H13" s="22">
        <f>K51</f>
        <v>107867.62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95">
        <v>0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9" t="e">
        <f t="shared" ref="H22:H38" si="8">HLOOKUP($O$3,#REF!,84+D22,0)</f>
        <v>#REF!</v>
      </c>
      <c r="I22" s="234" t="e">
        <f t="shared" si="3"/>
        <v>#REF!</v>
      </c>
      <c r="J22" s="218">
        <v>44361</v>
      </c>
      <c r="K22" s="235">
        <v>1548387.77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9">IF(E22=0,,I22/E22)</f>
        <v>#REF!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9" t="e">
        <f t="shared" si="8"/>
        <v>#REF!</v>
      </c>
      <c r="I23" s="234" t="e">
        <f t="shared" si="3"/>
        <v>#REF!</v>
      </c>
      <c r="J23" s="218" t="s">
        <v>45</v>
      </c>
      <c r="K23" s="235" t="s">
        <v>46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9"/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9" t="e">
        <f t="shared" si="8"/>
        <v>#REF!</v>
      </c>
      <c r="I24" s="234" t="e">
        <f t="shared" si="3"/>
        <v>#REF!</v>
      </c>
      <c r="J24" s="218" t="s">
        <v>45</v>
      </c>
      <c r="K24" s="235" t="s">
        <v>46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9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9" t="e">
        <f t="shared" si="8"/>
        <v>#REF!</v>
      </c>
      <c r="I25" s="234" t="e">
        <f t="shared" si="3"/>
        <v>#REF!</v>
      </c>
      <c r="J25" s="218" t="s">
        <v>45</v>
      </c>
      <c r="K25" s="235" t="s">
        <v>46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9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9" t="e">
        <f t="shared" si="8"/>
        <v>#REF!</v>
      </c>
      <c r="I26" s="234" t="e">
        <f t="shared" si="3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9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9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9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9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9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9"/>
        <v>#REF!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9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9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9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9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9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42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9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9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H40" si="13">SUM(G20:G38)</f>
        <v>#REF!</v>
      </c>
      <c r="H40" s="48" t="e">
        <f t="shared" si="13"/>
        <v>#REF!</v>
      </c>
      <c r="I40" s="50" t="e">
        <f>H40</f>
        <v>#REF!</v>
      </c>
      <c r="J40" s="51" t="s">
        <v>29</v>
      </c>
      <c r="K40" s="52">
        <f>SUM(K22:K39)</f>
        <v>1548387.77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58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>
        <v>44405</v>
      </c>
      <c r="K46" s="235">
        <v>107867.62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107867.62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434" priority="1">
      <formula>IF(TODAY()&gt;=E5+355,1,0)</formula>
    </cfRule>
  </conditionalFormatting>
  <conditionalFormatting sqref="E22:E42 E45:E53 E56:E64 E67:E71">
    <cfRule type="expression" dxfId="433" priority="2">
      <formula>IF(K22:K71="DEV",1,IF(K22:K71="no pago",1,0))</formula>
    </cfRule>
  </conditionalFormatting>
  <conditionalFormatting sqref="G22:G40 G42 G44:G51 G53 G55:G64 G66:G71 H40">
    <cfRule type="expression" dxfId="432" priority="3">
      <formula>IF(M22:M71="DEV",1,IF(M22:M71="no pago",1,0))</formula>
    </cfRule>
  </conditionalFormatting>
  <conditionalFormatting sqref="H22:H40 H42 H45:H51 H53 H56:H64 H67:H71">
    <cfRule type="expression" dxfId="431" priority="4">
      <formula>IF(O22:O71="DEV",1,IF(O22:O71="no pago",1,0))</formula>
    </cfRule>
  </conditionalFormatting>
  <conditionalFormatting sqref="K20:K38">
    <cfRule type="cellIs" dxfId="430" priority="5" operator="lessThan">
      <formula>E20:E28</formula>
    </cfRule>
  </conditionalFormatting>
  <conditionalFormatting sqref="K46:K49 K68:K71">
    <cfRule type="cellIs" dxfId="429" priority="6" operator="lessThan">
      <formula>E46:E49</formula>
    </cfRule>
  </conditionalFormatting>
  <conditionalFormatting sqref="K57:K60">
    <cfRule type="cellIs" dxfId="428" priority="7" operator="lessThan">
      <formula>E57:E60</formula>
    </cfRule>
  </conditionalFormatting>
  <conditionalFormatting sqref="K68:K71">
    <cfRule type="cellIs" dxfId="427" priority="8" operator="lessThan">
      <formula>E68:E71</formula>
    </cfRule>
  </conditionalFormatting>
  <conditionalFormatting sqref="J20:O39 J46:O49 J57:O60 J68:O71">
    <cfRule type="cellIs" dxfId="426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425" priority="10" operator="equal">
      <formula>"DEV"</formula>
    </cfRule>
  </conditionalFormatting>
  <conditionalFormatting sqref="K20:K38 K46:K49 K57:K60 K68:K71 K80:K82 M20:M38 M46:M49 M57:M60 M68:M71 O20:O38 O46:O49 O57:O60 O68:O71">
    <cfRule type="cellIs" dxfId="424" priority="11" operator="equal">
      <formula>"no pago"</formula>
    </cfRule>
  </conditionalFormatting>
  <conditionalFormatting sqref="B1:D1 B2:E2">
    <cfRule type="expression" dxfId="423" priority="12">
      <formula>$E$1="NO"</formula>
    </cfRule>
  </conditionalFormatting>
  <conditionalFormatting sqref="B1:D1 B2:E2">
    <cfRule type="expression" dxfId="422" priority="13">
      <formula>$E$1="SI"</formula>
    </cfRule>
  </conditionalFormatting>
  <conditionalFormatting sqref="F1">
    <cfRule type="expression" dxfId="421" priority="14">
      <formula>$E$1="NO"</formula>
    </cfRule>
  </conditionalFormatting>
  <conditionalFormatting sqref="F1">
    <cfRule type="expression" dxfId="420" priority="15">
      <formula>$E$1="SI"</formula>
    </cfRule>
  </conditionalFormatting>
  <conditionalFormatting sqref="N7:O8">
    <cfRule type="cellIs" dxfId="419" priority="16" operator="equal">
      <formula>"PARALIZADA"</formula>
    </cfRule>
  </conditionalFormatting>
  <conditionalFormatting sqref="N7:O8">
    <cfRule type="cellIs" dxfId="418" priority="17" operator="equal">
      <formula>"EN EJECUCION"</formula>
    </cfRule>
  </conditionalFormatting>
  <conditionalFormatting sqref="N7:O8">
    <cfRule type="cellIs" dxfId="417" priority="18" operator="equal">
      <formula>"TERMINADA"</formula>
    </cfRule>
  </conditionalFormatting>
  <conditionalFormatting sqref="N7:O8">
    <cfRule type="cellIs" dxfId="416" priority="19" operator="equal">
      <formula>"COMPLETADA"</formula>
    </cfRule>
  </conditionalFormatting>
  <hyperlinks>
    <hyperlink ref="O1" location="null!A1" display="&lt; VOLVER" xr:uid="{00000000-0004-0000-0500-000000000000}"/>
    <hyperlink ref="E3" location="FUERZA UNIDA!A1" display="CONEXIÓN CLOACAL Bº FUERZA UNIDA" xr:uid="{00000000-0004-0000-0500-000001000000}"/>
    <hyperlink ref="Q3" location="null!A1" display="'BASE DATOS'!A1" xr:uid="{00000000-0004-0000-05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20.5703125" customWidth="1"/>
    <col min="6" max="6" width="21.285156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21" t="s">
        <v>75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46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85" t="s">
        <v>69</v>
      </c>
      <c r="E5" s="90">
        <v>43715</v>
      </c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81" t="e">
        <f>HLOOKUP($O$3,#REF!,9,0)</f>
        <v>#REF!</v>
      </c>
      <c r="F7" s="193" t="s">
        <v>12</v>
      </c>
      <c r="G7" s="82" t="e">
        <f>HLOOKUP($O$3,#REF!,7,0)</f>
        <v>#REF!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45" t="e">
        <f>HLOOKUP($O$3,#REF!,3,0)</f>
        <v>#REF!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 t="shared" ref="N11:N15" si="0">SUM(E11:M11)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si="0"/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1248153.02</v>
      </c>
      <c r="H13" s="22">
        <f>K51</f>
        <v>214052.47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45</v>
      </c>
      <c r="K20" s="219" t="s">
        <v>46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45</v>
      </c>
      <c r="K21" s="227" t="s">
        <v>46</v>
      </c>
      <c r="L21" s="228" t="s">
        <v>45</v>
      </c>
      <c r="M21" s="229" t="s">
        <v>46</v>
      </c>
      <c r="N21" s="230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3" t="e">
        <f t="shared" ref="E22:E38" si="6">HLOOKUP($O$3,#REF!,42+D22,0)</f>
        <v>#REF!</v>
      </c>
      <c r="F22" s="42" t="e">
        <f>IF(E22=0,0,$G$7)</f>
        <v>#REF!</v>
      </c>
      <c r="G22" s="232" t="e">
        <f t="shared" ref="G22:G38" si="7">HLOOKUP($O$3,#REF!,63+D22,0)</f>
        <v>#REF!</v>
      </c>
      <c r="H22" s="233" t="e">
        <f t="shared" ref="H22:H38" si="8">HLOOKUP($O$3,#REF!,84+D22,0)</f>
        <v>#REF!</v>
      </c>
      <c r="I22" s="234" t="e">
        <f t="shared" si="3"/>
        <v>#REF!</v>
      </c>
      <c r="J22" s="218">
        <v>44330</v>
      </c>
      <c r="K22" s="235">
        <v>1248153.02</v>
      </c>
      <c r="L22" s="240" t="s">
        <v>45</v>
      </c>
      <c r="M22" s="237" t="s">
        <v>46</v>
      </c>
      <c r="N22" s="241" t="s">
        <v>45</v>
      </c>
      <c r="O22" s="43" t="s">
        <v>46</v>
      </c>
      <c r="P22" s="1"/>
      <c r="Q22" s="44" t="e">
        <f t="shared" ref="Q22:Q38" si="9">IF(E22=0,,I22/E22)</f>
        <v>#REF!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3" t="e">
        <f t="shared" si="6"/>
        <v>#REF!</v>
      </c>
      <c r="F23" s="42" t="e">
        <f t="shared" ref="F23:F38" si="12">EOMONTH(F22,1)</f>
        <v>#REF!</v>
      </c>
      <c r="G23" s="232" t="e">
        <f t="shared" si="7"/>
        <v>#REF!</v>
      </c>
      <c r="H23" s="233" t="e">
        <f t="shared" si="8"/>
        <v>#REF!</v>
      </c>
      <c r="I23" s="234" t="e">
        <f t="shared" si="3"/>
        <v>#REF!</v>
      </c>
      <c r="J23" s="218" t="s">
        <v>45</v>
      </c>
      <c r="K23" s="235" t="s">
        <v>46</v>
      </c>
      <c r="L23" s="240" t="s">
        <v>45</v>
      </c>
      <c r="M23" s="237" t="s">
        <v>46</v>
      </c>
      <c r="N23" s="241" t="s">
        <v>45</v>
      </c>
      <c r="O23" s="43" t="s">
        <v>46</v>
      </c>
      <c r="P23" s="1"/>
      <c r="Q23" s="44" t="e">
        <f t="shared" si="9"/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3" t="e">
        <f t="shared" si="6"/>
        <v>#REF!</v>
      </c>
      <c r="F24" s="42" t="e">
        <f t="shared" si="12"/>
        <v>#REF!</v>
      </c>
      <c r="G24" s="232" t="e">
        <f t="shared" si="7"/>
        <v>#REF!</v>
      </c>
      <c r="H24" s="233" t="e">
        <f t="shared" si="8"/>
        <v>#REF!</v>
      </c>
      <c r="I24" s="234" t="e">
        <f t="shared" si="3"/>
        <v>#REF!</v>
      </c>
      <c r="J24" s="218" t="s">
        <v>45</v>
      </c>
      <c r="K24" s="235" t="s">
        <v>46</v>
      </c>
      <c r="L24" s="240" t="s">
        <v>45</v>
      </c>
      <c r="M24" s="237" t="s">
        <v>46</v>
      </c>
      <c r="N24" s="241" t="s">
        <v>45</v>
      </c>
      <c r="O24" s="43" t="s">
        <v>46</v>
      </c>
      <c r="P24" s="1"/>
      <c r="Q24" s="44" t="e">
        <f t="shared" si="9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3" t="e">
        <f t="shared" si="6"/>
        <v>#REF!</v>
      </c>
      <c r="F25" s="42" t="e">
        <f t="shared" si="12"/>
        <v>#REF!</v>
      </c>
      <c r="G25" s="232" t="e">
        <f t="shared" si="7"/>
        <v>#REF!</v>
      </c>
      <c r="H25" s="233" t="e">
        <f t="shared" si="8"/>
        <v>#REF!</v>
      </c>
      <c r="I25" s="234" t="e">
        <f t="shared" si="3"/>
        <v>#REF!</v>
      </c>
      <c r="J25" s="218" t="s">
        <v>45</v>
      </c>
      <c r="K25" s="235" t="s">
        <v>46</v>
      </c>
      <c r="L25" s="240" t="s">
        <v>45</v>
      </c>
      <c r="M25" s="237" t="s">
        <v>46</v>
      </c>
      <c r="N25" s="241" t="s">
        <v>45</v>
      </c>
      <c r="O25" s="43" t="s">
        <v>46</v>
      </c>
      <c r="P25" s="1"/>
      <c r="Q25" s="44" t="e">
        <f t="shared" si="9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3" t="e">
        <f t="shared" si="6"/>
        <v>#REF!</v>
      </c>
      <c r="F26" s="42" t="e">
        <f t="shared" si="12"/>
        <v>#REF!</v>
      </c>
      <c r="G26" s="232" t="e">
        <f t="shared" si="7"/>
        <v>#REF!</v>
      </c>
      <c r="H26" s="233" t="e">
        <f t="shared" si="8"/>
        <v>#REF!</v>
      </c>
      <c r="I26" s="234" t="e">
        <f t="shared" si="3"/>
        <v>#REF!</v>
      </c>
      <c r="J26" s="218" t="s">
        <v>45</v>
      </c>
      <c r="K26" s="235" t="s">
        <v>46</v>
      </c>
      <c r="L26" s="240" t="s">
        <v>45</v>
      </c>
      <c r="M26" s="237" t="s">
        <v>46</v>
      </c>
      <c r="N26" s="241" t="s">
        <v>45</v>
      </c>
      <c r="O26" s="43" t="s">
        <v>46</v>
      </c>
      <c r="P26" s="1"/>
      <c r="Q26" s="44" t="e">
        <f t="shared" si="9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3" t="e">
        <f t="shared" si="6"/>
        <v>#REF!</v>
      </c>
      <c r="F27" s="42" t="e">
        <f t="shared" si="12"/>
        <v>#REF!</v>
      </c>
      <c r="G27" s="232" t="e">
        <f t="shared" si="7"/>
        <v>#REF!</v>
      </c>
      <c r="H27" s="239" t="e">
        <f t="shared" si="8"/>
        <v>#REF!</v>
      </c>
      <c r="I27" s="234" t="e">
        <f t="shared" si="3"/>
        <v>#REF!</v>
      </c>
      <c r="J27" s="218" t="s">
        <v>45</v>
      </c>
      <c r="K27" s="235" t="s">
        <v>46</v>
      </c>
      <c r="L27" s="240" t="s">
        <v>45</v>
      </c>
      <c r="M27" s="237" t="s">
        <v>46</v>
      </c>
      <c r="N27" s="241" t="s">
        <v>45</v>
      </c>
      <c r="O27" s="43" t="s">
        <v>46</v>
      </c>
      <c r="P27" s="1"/>
      <c r="Q27" s="44" t="e">
        <f t="shared" si="9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3" t="e">
        <f t="shared" si="6"/>
        <v>#REF!</v>
      </c>
      <c r="F28" s="42" t="e">
        <f t="shared" si="12"/>
        <v>#REF!</v>
      </c>
      <c r="G28" s="232" t="e">
        <f t="shared" si="7"/>
        <v>#REF!</v>
      </c>
      <c r="H28" s="239" t="e">
        <f t="shared" si="8"/>
        <v>#REF!</v>
      </c>
      <c r="I28" s="234" t="e">
        <f t="shared" si="3"/>
        <v>#REF!</v>
      </c>
      <c r="J28" s="218" t="s">
        <v>45</v>
      </c>
      <c r="K28" s="235" t="s">
        <v>46</v>
      </c>
      <c r="L28" s="240" t="s">
        <v>45</v>
      </c>
      <c r="M28" s="237" t="s">
        <v>46</v>
      </c>
      <c r="N28" s="241" t="s">
        <v>45</v>
      </c>
      <c r="O28" s="43" t="s">
        <v>46</v>
      </c>
      <c r="P28" s="1"/>
      <c r="Q28" s="44" t="e">
        <f t="shared" si="9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3" t="e">
        <f t="shared" si="6"/>
        <v>#REF!</v>
      </c>
      <c r="F29" s="42" t="e">
        <f t="shared" si="12"/>
        <v>#REF!</v>
      </c>
      <c r="G29" s="232" t="e">
        <f t="shared" si="7"/>
        <v>#REF!</v>
      </c>
      <c r="H29" s="239" t="e">
        <f t="shared" si="8"/>
        <v>#REF!</v>
      </c>
      <c r="I29" s="234" t="e">
        <f t="shared" si="3"/>
        <v>#REF!</v>
      </c>
      <c r="J29" s="218" t="s">
        <v>45</v>
      </c>
      <c r="K29" s="235" t="s">
        <v>46</v>
      </c>
      <c r="L29" s="240" t="s">
        <v>45</v>
      </c>
      <c r="M29" s="237" t="s">
        <v>46</v>
      </c>
      <c r="N29" s="241" t="s">
        <v>45</v>
      </c>
      <c r="O29" s="43" t="s">
        <v>46</v>
      </c>
      <c r="P29" s="1"/>
      <c r="Q29" s="44" t="e">
        <f t="shared" si="9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3" t="e">
        <f t="shared" si="6"/>
        <v>#REF!</v>
      </c>
      <c r="F30" s="42" t="e">
        <f t="shared" si="12"/>
        <v>#REF!</v>
      </c>
      <c r="G30" s="232" t="e">
        <f t="shared" si="7"/>
        <v>#REF!</v>
      </c>
      <c r="H30" s="239" t="e">
        <f t="shared" si="8"/>
        <v>#REF!</v>
      </c>
      <c r="I30" s="234" t="e">
        <f t="shared" si="3"/>
        <v>#REF!</v>
      </c>
      <c r="J30" s="218" t="s">
        <v>45</v>
      </c>
      <c r="K30" s="235" t="s">
        <v>46</v>
      </c>
      <c r="L30" s="240" t="s">
        <v>45</v>
      </c>
      <c r="M30" s="237" t="s">
        <v>46</v>
      </c>
      <c r="N30" s="241" t="s">
        <v>45</v>
      </c>
      <c r="O30" s="43" t="s">
        <v>46</v>
      </c>
      <c r="P30" s="1"/>
      <c r="Q30" s="44" t="e">
        <f t="shared" si="9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3" t="e">
        <f t="shared" si="6"/>
        <v>#REF!</v>
      </c>
      <c r="F31" s="42" t="e">
        <f t="shared" si="12"/>
        <v>#REF!</v>
      </c>
      <c r="G31" s="232" t="e">
        <f t="shared" si="7"/>
        <v>#REF!</v>
      </c>
      <c r="H31" s="239" t="e">
        <f t="shared" si="8"/>
        <v>#REF!</v>
      </c>
      <c r="I31" s="234" t="e">
        <f t="shared" si="3"/>
        <v>#REF!</v>
      </c>
      <c r="J31" s="218" t="s">
        <v>45</v>
      </c>
      <c r="K31" s="235" t="s">
        <v>46</v>
      </c>
      <c r="L31" s="240" t="s">
        <v>45</v>
      </c>
      <c r="M31" s="237" t="s">
        <v>46</v>
      </c>
      <c r="N31" s="241" t="s">
        <v>45</v>
      </c>
      <c r="O31" s="43" t="s">
        <v>46</v>
      </c>
      <c r="P31" s="1"/>
      <c r="Q31" s="44" t="e">
        <f t="shared" si="9"/>
        <v>#REF!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3" t="e">
        <f t="shared" si="6"/>
        <v>#REF!</v>
      </c>
      <c r="F32" s="42" t="e">
        <f t="shared" si="12"/>
        <v>#REF!</v>
      </c>
      <c r="G32" s="232" t="e">
        <f t="shared" si="7"/>
        <v>#REF!</v>
      </c>
      <c r="H32" s="239" t="e">
        <f t="shared" si="8"/>
        <v>#REF!</v>
      </c>
      <c r="I32" s="234" t="e">
        <f t="shared" si="3"/>
        <v>#REF!</v>
      </c>
      <c r="J32" s="218" t="s">
        <v>45</v>
      </c>
      <c r="K32" s="235" t="s">
        <v>46</v>
      </c>
      <c r="L32" s="240" t="s">
        <v>45</v>
      </c>
      <c r="M32" s="237" t="s">
        <v>46</v>
      </c>
      <c r="N32" s="241" t="s">
        <v>45</v>
      </c>
      <c r="O32" s="43" t="s">
        <v>46</v>
      </c>
      <c r="P32" s="1"/>
      <c r="Q32" s="44" t="e">
        <f t="shared" si="9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3" t="e">
        <f t="shared" si="6"/>
        <v>#REF!</v>
      </c>
      <c r="F33" s="42" t="e">
        <f t="shared" si="12"/>
        <v>#REF!</v>
      </c>
      <c r="G33" s="232" t="e">
        <f t="shared" si="7"/>
        <v>#REF!</v>
      </c>
      <c r="H33" s="239" t="e">
        <f t="shared" si="8"/>
        <v>#REF!</v>
      </c>
      <c r="I33" s="234" t="e">
        <f t="shared" si="3"/>
        <v>#REF!</v>
      </c>
      <c r="J33" s="218" t="s">
        <v>45</v>
      </c>
      <c r="K33" s="235" t="s">
        <v>46</v>
      </c>
      <c r="L33" s="240" t="s">
        <v>45</v>
      </c>
      <c r="M33" s="237" t="s">
        <v>46</v>
      </c>
      <c r="N33" s="241" t="s">
        <v>45</v>
      </c>
      <c r="O33" s="43" t="s">
        <v>46</v>
      </c>
      <c r="P33" s="1"/>
      <c r="Q33" s="44" t="e">
        <f t="shared" si="9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3" t="e">
        <f t="shared" si="6"/>
        <v>#REF!</v>
      </c>
      <c r="F34" s="42" t="e">
        <f t="shared" si="12"/>
        <v>#REF!</v>
      </c>
      <c r="G34" s="232" t="e">
        <f t="shared" si="7"/>
        <v>#REF!</v>
      </c>
      <c r="H34" s="239" t="e">
        <f t="shared" si="8"/>
        <v>#REF!</v>
      </c>
      <c r="I34" s="234" t="e">
        <f t="shared" si="3"/>
        <v>#REF!</v>
      </c>
      <c r="J34" s="218" t="s">
        <v>45</v>
      </c>
      <c r="K34" s="235" t="s">
        <v>46</v>
      </c>
      <c r="L34" s="240" t="s">
        <v>45</v>
      </c>
      <c r="M34" s="237" t="s">
        <v>46</v>
      </c>
      <c r="N34" s="241" t="s">
        <v>45</v>
      </c>
      <c r="O34" s="43" t="s">
        <v>46</v>
      </c>
      <c r="P34" s="1"/>
      <c r="Q34" s="44" t="e">
        <f t="shared" si="9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3" t="e">
        <f t="shared" si="6"/>
        <v>#REF!</v>
      </c>
      <c r="F35" s="42" t="e">
        <f t="shared" si="12"/>
        <v>#REF!</v>
      </c>
      <c r="G35" s="232" t="e">
        <f t="shared" si="7"/>
        <v>#REF!</v>
      </c>
      <c r="H35" s="239" t="e">
        <f t="shared" si="8"/>
        <v>#REF!</v>
      </c>
      <c r="I35" s="234" t="e">
        <f t="shared" si="3"/>
        <v>#REF!</v>
      </c>
      <c r="J35" s="218" t="s">
        <v>45</v>
      </c>
      <c r="K35" s="235" t="s">
        <v>46</v>
      </c>
      <c r="L35" s="240" t="s">
        <v>45</v>
      </c>
      <c r="M35" s="237" t="s">
        <v>46</v>
      </c>
      <c r="N35" s="241" t="s">
        <v>45</v>
      </c>
      <c r="O35" s="43" t="s">
        <v>46</v>
      </c>
      <c r="P35" s="1"/>
      <c r="Q35" s="44" t="e">
        <f t="shared" si="9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3" t="e">
        <f t="shared" si="6"/>
        <v>#REF!</v>
      </c>
      <c r="F36" s="42" t="e">
        <f t="shared" si="12"/>
        <v>#REF!</v>
      </c>
      <c r="G36" s="232" t="e">
        <f t="shared" si="7"/>
        <v>#REF!</v>
      </c>
      <c r="H36" s="239" t="e">
        <f t="shared" si="8"/>
        <v>#REF!</v>
      </c>
      <c r="I36" s="234" t="e">
        <f t="shared" si="3"/>
        <v>#REF!</v>
      </c>
      <c r="J36" s="218" t="s">
        <v>45</v>
      </c>
      <c r="K36" s="235" t="s">
        <v>46</v>
      </c>
      <c r="L36" s="240" t="s">
        <v>45</v>
      </c>
      <c r="M36" s="237" t="s">
        <v>46</v>
      </c>
      <c r="N36" s="241" t="s">
        <v>45</v>
      </c>
      <c r="O36" s="43" t="s">
        <v>46</v>
      </c>
      <c r="P36" s="1"/>
      <c r="Q36" s="44" t="e">
        <f t="shared" si="9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31" t="e">
        <f t="shared" si="6"/>
        <v>#REF!</v>
      </c>
      <c r="F37" s="42" t="e">
        <f t="shared" si="12"/>
        <v>#REF!</v>
      </c>
      <c r="G37" s="232" t="e">
        <f t="shared" si="7"/>
        <v>#REF!</v>
      </c>
      <c r="H37" s="239" t="e">
        <f t="shared" si="8"/>
        <v>#REF!</v>
      </c>
      <c r="I37" s="234" t="e">
        <f t="shared" si="3"/>
        <v>#REF!</v>
      </c>
      <c r="J37" s="218" t="s">
        <v>45</v>
      </c>
      <c r="K37" s="235" t="s">
        <v>46</v>
      </c>
      <c r="L37" s="240" t="s">
        <v>45</v>
      </c>
      <c r="M37" s="237" t="s">
        <v>46</v>
      </c>
      <c r="N37" s="241" t="s">
        <v>45</v>
      </c>
      <c r="O37" s="43" t="s">
        <v>46</v>
      </c>
      <c r="P37" s="1"/>
      <c r="Q37" s="44" t="e">
        <f t="shared" si="9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3" t="e">
        <f t="shared" si="6"/>
        <v>#REF!</v>
      </c>
      <c r="F38" s="42" t="e">
        <f t="shared" si="12"/>
        <v>#REF!</v>
      </c>
      <c r="G38" s="232" t="e">
        <f t="shared" si="7"/>
        <v>#REF!</v>
      </c>
      <c r="H38" s="239" t="e">
        <f t="shared" si="8"/>
        <v>#REF!</v>
      </c>
      <c r="I38" s="234" t="e">
        <f t="shared" si="3"/>
        <v>#REF!</v>
      </c>
      <c r="J38" s="218" t="s">
        <v>45</v>
      </c>
      <c r="K38" s="235" t="s">
        <v>46</v>
      </c>
      <c r="L38" s="240" t="s">
        <v>45</v>
      </c>
      <c r="M38" s="237" t="s">
        <v>46</v>
      </c>
      <c r="N38" s="241" t="s">
        <v>45</v>
      </c>
      <c r="O38" s="43" t="s">
        <v>46</v>
      </c>
      <c r="P38" s="1"/>
      <c r="Q38" s="44" t="e">
        <f t="shared" si="9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MIN(C22:C38)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1248153.02</v>
      </c>
      <c r="L40" s="312">
        <f>SUM(M22:M38)</f>
        <v>0</v>
      </c>
      <c r="M40" s="376"/>
      <c r="N40" s="310">
        <f>SUM(O22:O38)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 t="e">
        <f>S41</f>
        <v>#REF!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>
        <v>44405</v>
      </c>
      <c r="K46" s="235">
        <v>214052.47</v>
      </c>
      <c r="L46" s="236" t="s">
        <v>45</v>
      </c>
      <c r="M46" s="237" t="s">
        <v>46</v>
      </c>
      <c r="N46" s="238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45</v>
      </c>
      <c r="K47" s="235" t="s">
        <v>46</v>
      </c>
      <c r="L47" s="236" t="s">
        <v>45</v>
      </c>
      <c r="M47" s="237" t="s">
        <v>46</v>
      </c>
      <c r="N47" s="238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45</v>
      </c>
      <c r="K48" s="235" t="s">
        <v>46</v>
      </c>
      <c r="L48" s="236" t="s">
        <v>45</v>
      </c>
      <c r="M48" s="237" t="s">
        <v>46</v>
      </c>
      <c r="N48" s="238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45</v>
      </c>
      <c r="K49" s="235" t="s">
        <v>46</v>
      </c>
      <c r="L49" s="236" t="s">
        <v>45</v>
      </c>
      <c r="M49" s="237" t="s">
        <v>46</v>
      </c>
      <c r="N49" s="238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214052.47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45</v>
      </c>
      <c r="K57" s="235" t="s">
        <v>46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45</v>
      </c>
      <c r="K58" s="235" t="s">
        <v>46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45</v>
      </c>
      <c r="K59" s="235" t="s">
        <v>46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45</v>
      </c>
      <c r="K60" s="235" t="s">
        <v>46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45</v>
      </c>
      <c r="K68" s="235" t="s">
        <v>46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45</v>
      </c>
      <c r="K69" s="235" t="s">
        <v>46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45</v>
      </c>
      <c r="K70" s="235" t="s">
        <v>46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45</v>
      </c>
      <c r="K71" s="235" t="s">
        <v>46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415" priority="1">
      <formula>IF(TODAY()&gt;=E5+355,1,0)</formula>
    </cfRule>
  </conditionalFormatting>
  <conditionalFormatting sqref="E22:E42 E45:E53 E56:E64 E67:E71">
    <cfRule type="expression" dxfId="414" priority="2">
      <formula>IF(K22:K71="DEV",1,IF(K22:K71="no pago",1,0))</formula>
    </cfRule>
  </conditionalFormatting>
  <conditionalFormatting sqref="G22:G40 G42 G44:G51 G53 G55:G64 G66:G71">
    <cfRule type="expression" dxfId="413" priority="3">
      <formula>IF(M22:M71="DEV",1,IF(M22:M71="no pago",1,0))</formula>
    </cfRule>
  </conditionalFormatting>
  <conditionalFormatting sqref="H22:H40 H42 H45:H51 H53 H56:H64 H67:H71">
    <cfRule type="expression" dxfId="412" priority="4">
      <formula>IF(O22:O71="DEV",1,IF(O22:O71="no pago",1,0))</formula>
    </cfRule>
  </conditionalFormatting>
  <conditionalFormatting sqref="K20:K38">
    <cfRule type="cellIs" dxfId="411" priority="5" operator="lessThan">
      <formula>E20:E28</formula>
    </cfRule>
  </conditionalFormatting>
  <conditionalFormatting sqref="K46:K49 K68:K71">
    <cfRule type="cellIs" dxfId="410" priority="6" operator="lessThan">
      <formula>E46:E49</formula>
    </cfRule>
  </conditionalFormatting>
  <conditionalFormatting sqref="K57:K60">
    <cfRule type="cellIs" dxfId="409" priority="7" operator="lessThan">
      <formula>E57:E60</formula>
    </cfRule>
  </conditionalFormatting>
  <conditionalFormatting sqref="K68:K71">
    <cfRule type="cellIs" dxfId="408" priority="8" operator="lessThan">
      <formula>E68:E71</formula>
    </cfRule>
  </conditionalFormatting>
  <conditionalFormatting sqref="J20:O39 J46:O49 J57:O60 J68:O71">
    <cfRule type="cellIs" dxfId="407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406" priority="10" operator="equal">
      <formula>"DEV"</formula>
    </cfRule>
  </conditionalFormatting>
  <conditionalFormatting sqref="K20:K38 K46:K49 K57:K60 K68:K71 K80:K82 M20:M38 M46:M49 M57:M60 M68:M71 O20:O38 O46:O49 O57:O60 O68:O71">
    <cfRule type="cellIs" dxfId="405" priority="11" operator="equal">
      <formula>"no pago"</formula>
    </cfRule>
  </conditionalFormatting>
  <conditionalFormatting sqref="B1:D1 B2:E2">
    <cfRule type="expression" dxfId="404" priority="12">
      <formula>$E$1="NO"</formula>
    </cfRule>
  </conditionalFormatting>
  <conditionalFormatting sqref="B1:D1 B2:E2">
    <cfRule type="expression" dxfId="403" priority="13">
      <formula>$E$1="SI"</formula>
    </cfRule>
  </conditionalFormatting>
  <conditionalFormatting sqref="F1">
    <cfRule type="expression" dxfId="402" priority="14">
      <formula>$E$1="NO"</formula>
    </cfRule>
  </conditionalFormatting>
  <conditionalFormatting sqref="F1">
    <cfRule type="expression" dxfId="401" priority="15">
      <formula>$E$1="SI"</formula>
    </cfRule>
  </conditionalFormatting>
  <conditionalFormatting sqref="N7:O8">
    <cfRule type="cellIs" dxfId="400" priority="16" operator="equal">
      <formula>"PARALIZADA"</formula>
    </cfRule>
  </conditionalFormatting>
  <conditionalFormatting sqref="N7:O8">
    <cfRule type="cellIs" dxfId="399" priority="17" operator="equal">
      <formula>"EN EJECUCION"</formula>
    </cfRule>
  </conditionalFormatting>
  <conditionalFormatting sqref="N7:O8">
    <cfRule type="cellIs" dxfId="398" priority="18" operator="equal">
      <formula>"TERMINADA"</formula>
    </cfRule>
  </conditionalFormatting>
  <conditionalFormatting sqref="N7:O8">
    <cfRule type="cellIs" dxfId="397" priority="19" operator="equal">
      <formula>"COMPLETADA"</formula>
    </cfRule>
  </conditionalFormatting>
  <hyperlinks>
    <hyperlink ref="O1" location="null!A1" display="&lt; VOLVER" xr:uid="{00000000-0004-0000-0600-000000000000}"/>
    <hyperlink ref="E3" location="Bº JARDÍN!A1" display="CONEXIONES Bº JARDÍN Y OTROS" xr:uid="{00000000-0004-0000-0600-000001000000}"/>
    <hyperlink ref="Q3" location="null!A1" display="'BASE DATOS'!A1" xr:uid="{00000000-0004-0000-06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>
      <c r="A1" s="1"/>
      <c r="B1" s="2"/>
      <c r="C1" s="2"/>
      <c r="D1" s="319"/>
      <c r="E1" s="356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20">
        <v>1</v>
      </c>
      <c r="M2" s="356"/>
      <c r="N2" s="356"/>
      <c r="O2" s="356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>
      <c r="A3" s="1"/>
      <c r="B3" s="1"/>
      <c r="C3" s="1"/>
      <c r="D3" s="7" t="s">
        <v>2</v>
      </c>
      <c r="E3" s="349" t="e">
        <f>HLOOKUP($O$3,#REF!,2,0)</f>
        <v>#REF!</v>
      </c>
      <c r="F3" s="357"/>
      <c r="G3" s="357"/>
      <c r="H3" s="357"/>
      <c r="I3" s="357"/>
      <c r="J3" s="357"/>
      <c r="K3" s="357"/>
      <c r="L3" s="357"/>
      <c r="M3" s="357"/>
      <c r="N3" s="358"/>
      <c r="O3" s="8">
        <v>23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>
      <c r="A4" s="1"/>
      <c r="B4" s="1"/>
      <c r="C4" s="1"/>
      <c r="D4" s="304" t="s">
        <v>4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60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>
      <c r="A5" s="1"/>
      <c r="B5" s="1"/>
      <c r="C5" s="1"/>
      <c r="D5" s="10" t="s">
        <v>69</v>
      </c>
      <c r="E5" s="96"/>
      <c r="F5" s="12" t="s">
        <v>6</v>
      </c>
      <c r="G5" s="13" t="e">
        <f>HLOOKUP($O$3,#REF!,6,0)</f>
        <v>#REF!</v>
      </c>
      <c r="H5" s="325" t="s">
        <v>7</v>
      </c>
      <c r="I5" s="361"/>
      <c r="J5" s="322" t="e">
        <f>B40/G11</f>
        <v>#REF!</v>
      </c>
      <c r="K5" s="362"/>
      <c r="L5" s="323" t="s">
        <v>8</v>
      </c>
      <c r="M5" s="361"/>
      <c r="N5" s="324">
        <f ca="1">+TODAY()</f>
        <v>44769</v>
      </c>
      <c r="O5" s="36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>
      <c r="A6" s="1"/>
      <c r="B6" s="1"/>
      <c r="C6" s="1"/>
      <c r="D6" s="192" t="s">
        <v>9</v>
      </c>
      <c r="E6" s="14" t="e">
        <f>HLOOKUP($O$3,#REF!,4,0)</f>
        <v>#REF!</v>
      </c>
      <c r="F6" s="192" t="s">
        <v>10</v>
      </c>
      <c r="G6" s="14" t="e">
        <f>HLOOKUP($O$3,#REF!,5,0)</f>
        <v>#REF!</v>
      </c>
      <c r="H6" s="363"/>
      <c r="I6" s="364"/>
      <c r="J6" s="364"/>
      <c r="K6" s="365"/>
      <c r="L6" s="363"/>
      <c r="M6" s="364"/>
      <c r="N6" s="364"/>
      <c r="O6" s="365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>
      <c r="A7" s="1"/>
      <c r="B7" s="1"/>
      <c r="C7" s="1"/>
      <c r="D7" s="192" t="s">
        <v>11</v>
      </c>
      <c r="E7" s="15">
        <v>120</v>
      </c>
      <c r="F7" s="193" t="s">
        <v>12</v>
      </c>
      <c r="G7" s="16">
        <v>44109</v>
      </c>
      <c r="H7" s="326" t="s">
        <v>13</v>
      </c>
      <c r="I7" s="366"/>
      <c r="J7" s="327" t="e">
        <f>(G13+F13+E13)/G11</f>
        <v>#REF!</v>
      </c>
      <c r="K7" s="367"/>
      <c r="L7" s="328" t="s">
        <v>14</v>
      </c>
      <c r="M7" s="366"/>
      <c r="N7" s="329" t="s">
        <v>76</v>
      </c>
      <c r="O7" s="367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>
      <c r="A8" s="1"/>
      <c r="B8" s="1"/>
      <c r="C8" s="1"/>
      <c r="D8" s="194" t="s">
        <v>16</v>
      </c>
      <c r="E8" s="195" t="e">
        <f>HLOOKUP($O$3,#REF!,10,0)</f>
        <v>#REF!</v>
      </c>
      <c r="F8" s="196" t="s">
        <v>17</v>
      </c>
      <c r="G8" s="197" t="e">
        <f>+G7+E7+E8</f>
        <v>#REF!</v>
      </c>
      <c r="H8" s="368"/>
      <c r="I8" s="369"/>
      <c r="J8" s="369"/>
      <c r="K8" s="370"/>
      <c r="L8" s="368"/>
      <c r="M8" s="369"/>
      <c r="N8" s="369"/>
      <c r="O8" s="370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>
      <c r="A9" s="1"/>
      <c r="B9" s="1"/>
      <c r="C9" s="1"/>
      <c r="D9" s="304" t="s">
        <v>18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60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>
      <c r="A10" s="3"/>
      <c r="B10" s="3"/>
      <c r="C10" s="3"/>
      <c r="D10" s="17"/>
      <c r="E10" s="198" t="s">
        <v>19</v>
      </c>
      <c r="F10" s="190" t="s">
        <v>20</v>
      </c>
      <c r="G10" s="189" t="s">
        <v>21</v>
      </c>
      <c r="H10" s="190" t="s">
        <v>22</v>
      </c>
      <c r="I10" s="18" t="s">
        <v>23</v>
      </c>
      <c r="J10" s="330" t="s">
        <v>24</v>
      </c>
      <c r="K10" s="359"/>
      <c r="L10" s="331" t="s">
        <v>25</v>
      </c>
      <c r="M10" s="360"/>
      <c r="N10" s="331" t="s">
        <v>26</v>
      </c>
      <c r="O10" s="360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>
      <c r="A11" s="3"/>
      <c r="B11" s="3"/>
      <c r="C11" s="3"/>
      <c r="D11" s="199" t="s">
        <v>27</v>
      </c>
      <c r="E11" s="19" t="e">
        <f>HLOOKUP(O3,#REF!,20,0)</f>
        <v>#REF!</v>
      </c>
      <c r="F11" s="191" t="e">
        <f>HLOOKUP(O3,#REF!,19,0)</f>
        <v>#REF!</v>
      </c>
      <c r="G11" s="200" t="e">
        <f>HLOOKUP(O3,#REF!,12,0)</f>
        <v>#REF!</v>
      </c>
      <c r="H11" s="191" t="e">
        <f>HLOOKUP(O3,#REF!,15,0)</f>
        <v>#REF!</v>
      </c>
      <c r="I11" s="20" t="e">
        <f>HLOOKUP(O3,#REF!,13,0)</f>
        <v>#REF!</v>
      </c>
      <c r="J11" s="332" t="e">
        <f>HLOOKUP(O3,#REF!,16,0)</f>
        <v>#REF!</v>
      </c>
      <c r="K11" s="371"/>
      <c r="L11" s="333" t="e">
        <f>HLOOKUP(O3,#REF!,17,0)</f>
        <v>#REF!</v>
      </c>
      <c r="M11" s="372"/>
      <c r="N11" s="334" t="e">
        <f>SUM(G11:M11)</f>
        <v>#REF!</v>
      </c>
      <c r="O11" s="372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>
      <c r="A12" s="1"/>
      <c r="B12" s="1"/>
      <c r="C12" s="1"/>
      <c r="D12" s="201" t="s">
        <v>28</v>
      </c>
      <c r="E12" s="21" t="e">
        <f>E20</f>
        <v>#REF!</v>
      </c>
      <c r="F12" s="22" t="e">
        <f>E21</f>
        <v>#REF!</v>
      </c>
      <c r="G12" s="202" t="e">
        <f>E40</f>
        <v>#REF!</v>
      </c>
      <c r="H12" s="22" t="e">
        <f>E51</f>
        <v>#REF!</v>
      </c>
      <c r="I12" s="203" t="e">
        <f>I40+I51</f>
        <v>#REF!</v>
      </c>
      <c r="J12" s="340" t="e">
        <f>E62</f>
        <v>#REF!</v>
      </c>
      <c r="K12" s="373"/>
      <c r="L12" s="335" t="e">
        <f>E73</f>
        <v>#REF!</v>
      </c>
      <c r="M12" s="374"/>
      <c r="N12" s="336" t="e">
        <f t="shared" ref="N12:N15" si="0">SUM(E12:M12)</f>
        <v>#REF!</v>
      </c>
      <c r="O12" s="374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>
      <c r="A13" s="1"/>
      <c r="B13" s="1"/>
      <c r="C13" s="1"/>
      <c r="D13" s="201" t="s">
        <v>29</v>
      </c>
      <c r="E13" s="21" t="e">
        <f>IF(E12&lt;&gt;K20,0,K20)</f>
        <v>#REF!</v>
      </c>
      <c r="F13" s="22" t="e">
        <f>IF(F12&lt;&gt;K21,0,K21)</f>
        <v>#REF!</v>
      </c>
      <c r="G13" s="202">
        <f>K40</f>
        <v>10642450.210000001</v>
      </c>
      <c r="H13" s="22">
        <f>K51</f>
        <v>0</v>
      </c>
      <c r="I13" s="203">
        <f>L40+N40+L51+N51</f>
        <v>0</v>
      </c>
      <c r="J13" s="340">
        <f>K62</f>
        <v>0</v>
      </c>
      <c r="K13" s="373"/>
      <c r="L13" s="335">
        <f>K73</f>
        <v>0</v>
      </c>
      <c r="M13" s="374"/>
      <c r="N13" s="336" t="e">
        <f t="shared" si="0"/>
        <v>#REF!</v>
      </c>
      <c r="O13" s="374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>
      <c r="A14" s="1"/>
      <c r="B14" s="1"/>
      <c r="C14" s="1"/>
      <c r="D14" s="204" t="s">
        <v>30</v>
      </c>
      <c r="E14" s="21" t="e">
        <f t="shared" ref="E14:J14" si="1">E12-E13</f>
        <v>#REF!</v>
      </c>
      <c r="F14" s="205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40" t="e">
        <f t="shared" si="1"/>
        <v>#REF!</v>
      </c>
      <c r="K14" s="373"/>
      <c r="L14" s="335" t="e">
        <f>L12-L13</f>
        <v>#REF!</v>
      </c>
      <c r="M14" s="374"/>
      <c r="N14" s="341" t="e">
        <f t="shared" si="0"/>
        <v>#REF!</v>
      </c>
      <c r="O14" s="374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>
      <c r="A15" s="1"/>
      <c r="B15" s="1"/>
      <c r="C15" s="1"/>
      <c r="D15" s="204" t="s">
        <v>33</v>
      </c>
      <c r="E15" s="23" t="e">
        <f t="shared" ref="E15:F15" si="2">E11-E12</f>
        <v>#REF!</v>
      </c>
      <c r="F15" s="206" t="e">
        <f t="shared" si="2"/>
        <v>#REF!</v>
      </c>
      <c r="G15" s="24" t="e">
        <f>E41</f>
        <v>#REF!</v>
      </c>
      <c r="H15" s="206" t="e">
        <f>H11-H12</f>
        <v>#REF!</v>
      </c>
      <c r="I15" s="25" t="e">
        <f>U41+(G15+H15)*Q39</f>
        <v>#REF!</v>
      </c>
      <c r="J15" s="342" t="e">
        <f>J11-J12</f>
        <v>#REF!</v>
      </c>
      <c r="K15" s="366"/>
      <c r="L15" s="343" t="e">
        <f>L11-L12</f>
        <v>#REF!</v>
      </c>
      <c r="M15" s="367"/>
      <c r="N15" s="344" t="e">
        <f t="shared" si="0"/>
        <v>#REF!</v>
      </c>
      <c r="O15" s="367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>
      <c r="A16" s="1"/>
      <c r="B16" s="1"/>
      <c r="C16" s="1"/>
      <c r="D16" s="208"/>
      <c r="E16" s="209"/>
      <c r="F16" s="209"/>
      <c r="G16" s="209"/>
      <c r="H16" s="209"/>
      <c r="I16" s="210"/>
      <c r="J16" s="209"/>
      <c r="K16" s="209"/>
      <c r="L16" s="209"/>
      <c r="M16" s="209"/>
      <c r="N16" s="209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>
      <c r="A17" s="1"/>
      <c r="B17" s="1"/>
      <c r="C17" s="1"/>
      <c r="D17" s="304" t="s">
        <v>21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60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>
      <c r="A18" s="1"/>
      <c r="B18" s="1"/>
      <c r="C18" s="1"/>
      <c r="D18" s="305" t="s">
        <v>35</v>
      </c>
      <c r="E18" s="357"/>
      <c r="F18" s="375"/>
      <c r="G18" s="306" t="s">
        <v>60</v>
      </c>
      <c r="H18" s="357"/>
      <c r="I18" s="358"/>
      <c r="J18" s="305" t="s">
        <v>37</v>
      </c>
      <c r="K18" s="357"/>
      <c r="L18" s="357"/>
      <c r="M18" s="357"/>
      <c r="N18" s="357"/>
      <c r="O18" s="358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>
      <c r="A19" s="1"/>
      <c r="B19" s="1"/>
      <c r="C19" s="1"/>
      <c r="D19" s="28" t="s">
        <v>38</v>
      </c>
      <c r="E19" s="211" t="s">
        <v>39</v>
      </c>
      <c r="F19" s="29" t="s">
        <v>40</v>
      </c>
      <c r="G19" s="212" t="s">
        <v>41</v>
      </c>
      <c r="H19" s="213" t="s">
        <v>42</v>
      </c>
      <c r="I19" s="30" t="s">
        <v>27</v>
      </c>
      <c r="J19" s="337" t="s">
        <v>43</v>
      </c>
      <c r="K19" s="376"/>
      <c r="L19" s="338" t="s">
        <v>41</v>
      </c>
      <c r="M19" s="377"/>
      <c r="N19" s="339" t="s">
        <v>42</v>
      </c>
      <c r="O19" s="378"/>
      <c r="P19" s="1"/>
      <c r="Q19" s="319" t="s">
        <v>44</v>
      </c>
      <c r="R19" s="356"/>
      <c r="S19" s="356"/>
      <c r="T19" s="356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>
      <c r="A20" s="31"/>
      <c r="B20" s="31"/>
      <c r="C20" s="31"/>
      <c r="D20" s="214" t="s">
        <v>19</v>
      </c>
      <c r="E20" s="215" t="e">
        <f>E11</f>
        <v>#REF!</v>
      </c>
      <c r="F20" s="32" t="s">
        <v>45</v>
      </c>
      <c r="G20" s="216">
        <v>0</v>
      </c>
      <c r="H20" s="217">
        <v>0</v>
      </c>
      <c r="I20" s="33">
        <f t="shared" ref="I20:I38" si="3">SUM(G20:H20)</f>
        <v>0</v>
      </c>
      <c r="J20" s="218" t="s">
        <v>77</v>
      </c>
      <c r="K20" s="219" t="s">
        <v>77</v>
      </c>
      <c r="L20" s="220" t="s">
        <v>45</v>
      </c>
      <c r="M20" s="221" t="s">
        <v>46</v>
      </c>
      <c r="N20" s="222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>
      <c r="A21" s="31" t="s">
        <v>38</v>
      </c>
      <c r="B21" s="31" t="s">
        <v>50</v>
      </c>
      <c r="C21" s="31"/>
      <c r="D21" s="223" t="s">
        <v>20</v>
      </c>
      <c r="E21" s="224" t="e">
        <f>F11</f>
        <v>#REF!</v>
      </c>
      <c r="F21" s="35" t="s">
        <v>45</v>
      </c>
      <c r="G21" s="225" t="e">
        <f>HLOOKUP($O$3,#REF!,148,0)</f>
        <v>#REF!</v>
      </c>
      <c r="H21" s="226" t="e">
        <f>HLOOKUP($O$3,#REF!,149,0)</f>
        <v>#REF!</v>
      </c>
      <c r="I21" s="36" t="e">
        <f t="shared" si="3"/>
        <v>#REF!</v>
      </c>
      <c r="J21" s="37" t="s">
        <v>77</v>
      </c>
      <c r="K21" s="227" t="s">
        <v>77</v>
      </c>
      <c r="L21" s="228" t="s">
        <v>77</v>
      </c>
      <c r="M21" s="229" t="s">
        <v>77</v>
      </c>
      <c r="N21" s="230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>
      <c r="A22" s="31">
        <v>1</v>
      </c>
      <c r="B22" s="39" t="e">
        <f>HLOOKUP($O$3,#REF!,21+A22,0)</f>
        <v>#REF!</v>
      </c>
      <c r="C22" s="40" t="e">
        <f t="shared" ref="C22:C38" si="4">IF(B22&lt;&gt;"",,A22)</f>
        <v>#REF!</v>
      </c>
      <c r="D22" s="41">
        <v>1</v>
      </c>
      <c r="E22" s="231">
        <v>2616695.19</v>
      </c>
      <c r="F22" s="42">
        <f>IF(E22=0,0,$G$7)</f>
        <v>44109</v>
      </c>
      <c r="G22" s="232" t="e">
        <f t="shared" ref="G22:G38" si="5">HLOOKUP($O$3,#REF!,63+D22,0)</f>
        <v>#REF!</v>
      </c>
      <c r="H22" s="233" t="e">
        <f t="shared" ref="H22:H38" si="6">HLOOKUP($O$3,#REF!,84+D22,0)</f>
        <v>#REF!</v>
      </c>
      <c r="I22" s="234" t="e">
        <f t="shared" si="3"/>
        <v>#REF!</v>
      </c>
      <c r="J22" s="251">
        <v>44167</v>
      </c>
      <c r="K22" s="252">
        <v>2616695.19</v>
      </c>
      <c r="L22" s="236" t="s">
        <v>77</v>
      </c>
      <c r="M22" s="237" t="s">
        <v>77</v>
      </c>
      <c r="N22" s="238" t="s">
        <v>77</v>
      </c>
      <c r="O22" s="43" t="s">
        <v>77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>
      <c r="A23" s="31">
        <v>2</v>
      </c>
      <c r="B23" s="39">
        <v>2462889.39</v>
      </c>
      <c r="C23" s="40">
        <f t="shared" si="4"/>
        <v>0</v>
      </c>
      <c r="D23" s="41">
        <v>2</v>
      </c>
      <c r="E23" s="231">
        <v>2462889.39</v>
      </c>
      <c r="F23" s="42" t="e">
        <f t="shared" ref="F23:F38" si="10">IF($G$15=0&amp;E23=0,0,EOMONTH(F22,1))</f>
        <v>#REF!</v>
      </c>
      <c r="G23" s="232" t="e">
        <f t="shared" si="5"/>
        <v>#REF!</v>
      </c>
      <c r="H23" s="233" t="e">
        <f t="shared" si="6"/>
        <v>#REF!</v>
      </c>
      <c r="I23" s="234" t="e">
        <f t="shared" si="3"/>
        <v>#REF!</v>
      </c>
      <c r="J23" s="218">
        <v>44200</v>
      </c>
      <c r="K23" s="235">
        <v>2462889.39</v>
      </c>
      <c r="L23" s="236" t="s">
        <v>77</v>
      </c>
      <c r="M23" s="237" t="s">
        <v>77</v>
      </c>
      <c r="N23" s="238" t="s">
        <v>77</v>
      </c>
      <c r="O23" s="43" t="s">
        <v>77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>
      <c r="A24" s="31">
        <v>3</v>
      </c>
      <c r="B24" s="39">
        <v>1939196.72</v>
      </c>
      <c r="C24" s="40">
        <f t="shared" si="4"/>
        <v>0</v>
      </c>
      <c r="D24" s="41">
        <v>3</v>
      </c>
      <c r="E24" s="231">
        <v>1939196.72</v>
      </c>
      <c r="F24" s="42" t="e">
        <f t="shared" si="10"/>
        <v>#REF!</v>
      </c>
      <c r="G24" s="232" t="e">
        <f t="shared" si="5"/>
        <v>#REF!</v>
      </c>
      <c r="H24" s="233" t="e">
        <f t="shared" si="6"/>
        <v>#REF!</v>
      </c>
      <c r="I24" s="234" t="e">
        <f t="shared" si="3"/>
        <v>#REF!</v>
      </c>
      <c r="J24" s="218">
        <v>44228</v>
      </c>
      <c r="K24" s="235">
        <v>1939196.72</v>
      </c>
      <c r="L24" s="236" t="s">
        <v>77</v>
      </c>
      <c r="M24" s="237" t="s">
        <v>77</v>
      </c>
      <c r="N24" s="238" t="s">
        <v>77</v>
      </c>
      <c r="O24" s="43" t="s">
        <v>77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>
      <c r="A25" s="31">
        <v>4</v>
      </c>
      <c r="B25" s="39">
        <v>3623668.91</v>
      </c>
      <c r="C25" s="40">
        <f t="shared" si="4"/>
        <v>0</v>
      </c>
      <c r="D25" s="41">
        <v>4</v>
      </c>
      <c r="E25" s="231">
        <v>3623668.91</v>
      </c>
      <c r="F25" s="42" t="e">
        <f t="shared" si="10"/>
        <v>#REF!</v>
      </c>
      <c r="G25" s="232" t="e">
        <f t="shared" si="5"/>
        <v>#REF!</v>
      </c>
      <c r="H25" s="233" t="e">
        <f t="shared" si="6"/>
        <v>#REF!</v>
      </c>
      <c r="I25" s="234" t="e">
        <f t="shared" si="3"/>
        <v>#REF!</v>
      </c>
      <c r="J25" s="218">
        <v>44295</v>
      </c>
      <c r="K25" s="253">
        <v>3623668.91</v>
      </c>
      <c r="L25" s="236" t="s">
        <v>77</v>
      </c>
      <c r="M25" s="237" t="s">
        <v>77</v>
      </c>
      <c r="N25" s="238" t="s">
        <v>77</v>
      </c>
      <c r="O25" s="43" t="s">
        <v>77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>
      <c r="A26" s="31">
        <v>5</v>
      </c>
      <c r="B26" s="39" t="e">
        <f t="shared" ref="B26:B38" si="11">HLOOKUP($O$3,#REF!,21+A26,0)</f>
        <v>#REF!</v>
      </c>
      <c r="C26" s="40" t="e">
        <f t="shared" si="4"/>
        <v>#REF!</v>
      </c>
      <c r="D26" s="41">
        <v>5</v>
      </c>
      <c r="E26" s="231" t="e">
        <f t="shared" ref="E26:E38" si="12">HLOOKUP($O$3,#REF!,42+D26,0)</f>
        <v>#REF!</v>
      </c>
      <c r="F26" s="42" t="e">
        <f t="shared" si="10"/>
        <v>#REF!</v>
      </c>
      <c r="G26" s="232" t="e">
        <f t="shared" si="5"/>
        <v>#REF!</v>
      </c>
      <c r="H26" s="233" t="e">
        <f t="shared" si="6"/>
        <v>#REF!</v>
      </c>
      <c r="I26" s="234" t="e">
        <f t="shared" si="3"/>
        <v>#REF!</v>
      </c>
      <c r="J26" s="218" t="s">
        <v>77</v>
      </c>
      <c r="K26" s="235" t="s">
        <v>77</v>
      </c>
      <c r="L26" s="236" t="s">
        <v>77</v>
      </c>
      <c r="M26" s="237" t="s">
        <v>77</v>
      </c>
      <c r="N26" s="238" t="s">
        <v>77</v>
      </c>
      <c r="O26" s="43" t="s">
        <v>77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>
      <c r="A27" s="31">
        <v>6</v>
      </c>
      <c r="B27" s="39" t="e">
        <f t="shared" si="11"/>
        <v>#REF!</v>
      </c>
      <c r="C27" s="40" t="e">
        <f t="shared" si="4"/>
        <v>#REF!</v>
      </c>
      <c r="D27" s="41">
        <v>6</v>
      </c>
      <c r="E27" s="231" t="e">
        <f t="shared" si="12"/>
        <v>#REF!</v>
      </c>
      <c r="F27" s="42" t="e">
        <f t="shared" si="10"/>
        <v>#REF!</v>
      </c>
      <c r="G27" s="232" t="e">
        <f t="shared" si="5"/>
        <v>#REF!</v>
      </c>
      <c r="H27" s="239" t="e">
        <f t="shared" si="6"/>
        <v>#REF!</v>
      </c>
      <c r="I27" s="234" t="e">
        <f t="shared" si="3"/>
        <v>#REF!</v>
      </c>
      <c r="J27" s="218" t="s">
        <v>77</v>
      </c>
      <c r="K27" s="235" t="s">
        <v>77</v>
      </c>
      <c r="L27" s="240" t="s">
        <v>77</v>
      </c>
      <c r="M27" s="237" t="s">
        <v>77</v>
      </c>
      <c r="N27" s="241" t="s">
        <v>77</v>
      </c>
      <c r="O27" s="43" t="s">
        <v>77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>
      <c r="A28" s="31">
        <v>7</v>
      </c>
      <c r="B28" s="39" t="e">
        <f t="shared" si="11"/>
        <v>#REF!</v>
      </c>
      <c r="C28" s="40" t="e">
        <f t="shared" si="4"/>
        <v>#REF!</v>
      </c>
      <c r="D28" s="41">
        <v>7</v>
      </c>
      <c r="E28" s="231" t="e">
        <f t="shared" si="12"/>
        <v>#REF!</v>
      </c>
      <c r="F28" s="42" t="e">
        <f t="shared" si="10"/>
        <v>#REF!</v>
      </c>
      <c r="G28" s="232" t="e">
        <f t="shared" si="5"/>
        <v>#REF!</v>
      </c>
      <c r="H28" s="239" t="e">
        <f t="shared" si="6"/>
        <v>#REF!</v>
      </c>
      <c r="I28" s="234" t="e">
        <f t="shared" si="3"/>
        <v>#REF!</v>
      </c>
      <c r="J28" s="218" t="s">
        <v>77</v>
      </c>
      <c r="K28" s="235" t="s">
        <v>77</v>
      </c>
      <c r="L28" s="240" t="s">
        <v>77</v>
      </c>
      <c r="M28" s="242" t="s">
        <v>77</v>
      </c>
      <c r="N28" s="241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>
      <c r="A29" s="31">
        <v>8</v>
      </c>
      <c r="B29" s="39" t="e">
        <f t="shared" si="11"/>
        <v>#REF!</v>
      </c>
      <c r="C29" s="40" t="e">
        <f t="shared" si="4"/>
        <v>#REF!</v>
      </c>
      <c r="D29" s="41">
        <v>8</v>
      </c>
      <c r="E29" s="231" t="e">
        <f t="shared" si="12"/>
        <v>#REF!</v>
      </c>
      <c r="F29" s="42" t="e">
        <f t="shared" si="10"/>
        <v>#REF!</v>
      </c>
      <c r="G29" s="232" t="e">
        <f t="shared" si="5"/>
        <v>#REF!</v>
      </c>
      <c r="H29" s="239" t="e">
        <f t="shared" si="6"/>
        <v>#REF!</v>
      </c>
      <c r="I29" s="234" t="e">
        <f t="shared" si="3"/>
        <v>#REF!</v>
      </c>
      <c r="J29" s="218" t="s">
        <v>77</v>
      </c>
      <c r="K29" s="235" t="s">
        <v>77</v>
      </c>
      <c r="L29" s="240" t="s">
        <v>77</v>
      </c>
      <c r="M29" s="237" t="s">
        <v>77</v>
      </c>
      <c r="N29" s="241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>
      <c r="A30" s="31">
        <v>9</v>
      </c>
      <c r="B30" s="39" t="e">
        <f t="shared" si="11"/>
        <v>#REF!</v>
      </c>
      <c r="C30" s="40" t="e">
        <f t="shared" si="4"/>
        <v>#REF!</v>
      </c>
      <c r="D30" s="41">
        <v>9</v>
      </c>
      <c r="E30" s="231" t="e">
        <f t="shared" si="12"/>
        <v>#REF!</v>
      </c>
      <c r="F30" s="42" t="e">
        <f t="shared" si="10"/>
        <v>#REF!</v>
      </c>
      <c r="G30" s="232" t="e">
        <f t="shared" si="5"/>
        <v>#REF!</v>
      </c>
      <c r="H30" s="239" t="e">
        <f t="shared" si="6"/>
        <v>#REF!</v>
      </c>
      <c r="I30" s="234" t="e">
        <f t="shared" si="3"/>
        <v>#REF!</v>
      </c>
      <c r="J30" s="218" t="s">
        <v>77</v>
      </c>
      <c r="K30" s="235" t="s">
        <v>77</v>
      </c>
      <c r="L30" s="240" t="s">
        <v>77</v>
      </c>
      <c r="M30" s="242" t="s">
        <v>77</v>
      </c>
      <c r="N30" s="241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>
      <c r="A31" s="31">
        <v>10</v>
      </c>
      <c r="B31" s="39" t="e">
        <f t="shared" si="11"/>
        <v>#REF!</v>
      </c>
      <c r="C31" s="40" t="e">
        <f t="shared" si="4"/>
        <v>#REF!</v>
      </c>
      <c r="D31" s="41">
        <v>10</v>
      </c>
      <c r="E31" s="231" t="e">
        <f t="shared" si="12"/>
        <v>#REF!</v>
      </c>
      <c r="F31" s="42" t="e">
        <f t="shared" si="10"/>
        <v>#REF!</v>
      </c>
      <c r="G31" s="232" t="e">
        <f t="shared" si="5"/>
        <v>#REF!</v>
      </c>
      <c r="H31" s="239" t="e">
        <f t="shared" si="6"/>
        <v>#REF!</v>
      </c>
      <c r="I31" s="234" t="e">
        <f t="shared" si="3"/>
        <v>#REF!</v>
      </c>
      <c r="J31" s="218" t="s">
        <v>77</v>
      </c>
      <c r="K31" s="235" t="s">
        <v>77</v>
      </c>
      <c r="L31" s="240" t="s">
        <v>77</v>
      </c>
      <c r="M31" s="242" t="s">
        <v>77</v>
      </c>
      <c r="N31" s="241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>
      <c r="A32" s="31">
        <v>11</v>
      </c>
      <c r="B32" s="39" t="e">
        <f t="shared" si="11"/>
        <v>#REF!</v>
      </c>
      <c r="C32" s="40" t="e">
        <f t="shared" si="4"/>
        <v>#REF!</v>
      </c>
      <c r="D32" s="41">
        <v>11</v>
      </c>
      <c r="E32" s="231" t="e">
        <f t="shared" si="12"/>
        <v>#REF!</v>
      </c>
      <c r="F32" s="42" t="e">
        <f t="shared" si="10"/>
        <v>#REF!</v>
      </c>
      <c r="G32" s="232" t="e">
        <f t="shared" si="5"/>
        <v>#REF!</v>
      </c>
      <c r="H32" s="239" t="e">
        <f t="shared" si="6"/>
        <v>#REF!</v>
      </c>
      <c r="I32" s="234" t="e">
        <f t="shared" si="3"/>
        <v>#REF!</v>
      </c>
      <c r="J32" s="218" t="s">
        <v>77</v>
      </c>
      <c r="K32" s="235" t="s">
        <v>77</v>
      </c>
      <c r="L32" s="240" t="s">
        <v>77</v>
      </c>
      <c r="M32" s="237" t="s">
        <v>77</v>
      </c>
      <c r="N32" s="241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>
      <c r="A33" s="31">
        <v>12</v>
      </c>
      <c r="B33" s="39" t="e">
        <f t="shared" si="11"/>
        <v>#REF!</v>
      </c>
      <c r="C33" s="40" t="e">
        <f t="shared" si="4"/>
        <v>#REF!</v>
      </c>
      <c r="D33" s="41">
        <v>12</v>
      </c>
      <c r="E33" s="243" t="e">
        <f t="shared" si="12"/>
        <v>#REF!</v>
      </c>
      <c r="F33" s="42" t="e">
        <f t="shared" si="10"/>
        <v>#REF!</v>
      </c>
      <c r="G33" s="232" t="e">
        <f t="shared" si="5"/>
        <v>#REF!</v>
      </c>
      <c r="H33" s="239" t="e">
        <f t="shared" si="6"/>
        <v>#REF!</v>
      </c>
      <c r="I33" s="234" t="e">
        <f t="shared" si="3"/>
        <v>#REF!</v>
      </c>
      <c r="J33" s="218" t="s">
        <v>77</v>
      </c>
      <c r="K33" s="235" t="s">
        <v>77</v>
      </c>
      <c r="L33" s="240" t="s">
        <v>77</v>
      </c>
      <c r="M33" s="237" t="s">
        <v>77</v>
      </c>
      <c r="N33" s="241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>
      <c r="A34" s="31">
        <v>13</v>
      </c>
      <c r="B34" s="39" t="e">
        <f t="shared" si="11"/>
        <v>#REF!</v>
      </c>
      <c r="C34" s="40" t="e">
        <f t="shared" si="4"/>
        <v>#REF!</v>
      </c>
      <c r="D34" s="41">
        <v>13</v>
      </c>
      <c r="E34" s="243" t="e">
        <f t="shared" si="12"/>
        <v>#REF!</v>
      </c>
      <c r="F34" s="42" t="e">
        <f t="shared" si="10"/>
        <v>#REF!</v>
      </c>
      <c r="G34" s="232" t="e">
        <f t="shared" si="5"/>
        <v>#REF!</v>
      </c>
      <c r="H34" s="239" t="e">
        <f t="shared" si="6"/>
        <v>#REF!</v>
      </c>
      <c r="I34" s="234" t="e">
        <f t="shared" si="3"/>
        <v>#REF!</v>
      </c>
      <c r="J34" s="218" t="s">
        <v>77</v>
      </c>
      <c r="K34" s="235" t="s">
        <v>77</v>
      </c>
      <c r="L34" s="240" t="s">
        <v>77</v>
      </c>
      <c r="M34" s="237" t="s">
        <v>77</v>
      </c>
      <c r="N34" s="241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>
      <c r="A35" s="31">
        <v>14</v>
      </c>
      <c r="B35" s="39" t="e">
        <f t="shared" si="11"/>
        <v>#REF!</v>
      </c>
      <c r="C35" s="40" t="e">
        <f t="shared" si="4"/>
        <v>#REF!</v>
      </c>
      <c r="D35" s="41">
        <v>14</v>
      </c>
      <c r="E35" s="243" t="e">
        <f t="shared" si="12"/>
        <v>#REF!</v>
      </c>
      <c r="F35" s="42" t="e">
        <f t="shared" si="10"/>
        <v>#REF!</v>
      </c>
      <c r="G35" s="232" t="e">
        <f t="shared" si="5"/>
        <v>#REF!</v>
      </c>
      <c r="H35" s="239" t="e">
        <f t="shared" si="6"/>
        <v>#REF!</v>
      </c>
      <c r="I35" s="234" t="e">
        <f t="shared" si="3"/>
        <v>#REF!</v>
      </c>
      <c r="J35" s="218" t="s">
        <v>77</v>
      </c>
      <c r="K35" s="235" t="s">
        <v>77</v>
      </c>
      <c r="L35" s="240" t="s">
        <v>77</v>
      </c>
      <c r="M35" s="237" t="s">
        <v>77</v>
      </c>
      <c r="N35" s="241" t="s">
        <v>77</v>
      </c>
      <c r="O35" s="43" t="s">
        <v>77</v>
      </c>
      <c r="P35" s="1"/>
      <c r="Q35" s="44" t="e">
        <f t="shared" si="7"/>
        <v>#REF!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>
      <c r="A36" s="31">
        <v>15</v>
      </c>
      <c r="B36" s="39" t="e">
        <f t="shared" si="11"/>
        <v>#REF!</v>
      </c>
      <c r="C36" s="40" t="e">
        <f t="shared" si="4"/>
        <v>#REF!</v>
      </c>
      <c r="D36" s="41">
        <v>15</v>
      </c>
      <c r="E36" s="243" t="e">
        <f t="shared" si="12"/>
        <v>#REF!</v>
      </c>
      <c r="F36" s="42" t="e">
        <f t="shared" si="10"/>
        <v>#REF!</v>
      </c>
      <c r="G36" s="232" t="e">
        <f t="shared" si="5"/>
        <v>#REF!</v>
      </c>
      <c r="H36" s="239" t="e">
        <f t="shared" si="6"/>
        <v>#REF!</v>
      </c>
      <c r="I36" s="234" t="e">
        <f t="shared" si="3"/>
        <v>#REF!</v>
      </c>
      <c r="J36" s="218" t="s">
        <v>77</v>
      </c>
      <c r="K36" s="235" t="s">
        <v>77</v>
      </c>
      <c r="L36" s="240" t="s">
        <v>77</v>
      </c>
      <c r="M36" s="237" t="s">
        <v>77</v>
      </c>
      <c r="N36" s="241" t="s">
        <v>77</v>
      </c>
      <c r="O36" s="43" t="s">
        <v>77</v>
      </c>
      <c r="P36" s="1"/>
      <c r="Q36" s="44" t="e">
        <f t="shared" si="7"/>
        <v>#REF!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>
      <c r="A37" s="31">
        <v>16</v>
      </c>
      <c r="B37" s="39" t="e">
        <f t="shared" si="11"/>
        <v>#REF!</v>
      </c>
      <c r="C37" s="40" t="e">
        <f t="shared" si="4"/>
        <v>#REF!</v>
      </c>
      <c r="D37" s="41">
        <v>16</v>
      </c>
      <c r="E37" s="231" t="e">
        <f t="shared" si="12"/>
        <v>#REF!</v>
      </c>
      <c r="F37" s="42" t="e">
        <f t="shared" si="10"/>
        <v>#REF!</v>
      </c>
      <c r="G37" s="232" t="e">
        <f t="shared" si="5"/>
        <v>#REF!</v>
      </c>
      <c r="H37" s="239" t="e">
        <f t="shared" si="6"/>
        <v>#REF!</v>
      </c>
      <c r="I37" s="234" t="e">
        <f t="shared" si="3"/>
        <v>#REF!</v>
      </c>
      <c r="J37" s="218" t="s">
        <v>77</v>
      </c>
      <c r="K37" s="235" t="s">
        <v>77</v>
      </c>
      <c r="L37" s="240" t="s">
        <v>77</v>
      </c>
      <c r="M37" s="237" t="s">
        <v>77</v>
      </c>
      <c r="N37" s="241" t="s">
        <v>77</v>
      </c>
      <c r="O37" s="43" t="s">
        <v>77</v>
      </c>
      <c r="P37" s="1"/>
      <c r="Q37" s="44" t="e">
        <f t="shared" si="7"/>
        <v>#REF!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>
      <c r="A38" s="31">
        <v>17</v>
      </c>
      <c r="B38" s="39" t="e">
        <f t="shared" si="11"/>
        <v>#REF!</v>
      </c>
      <c r="C38" s="40" t="e">
        <f t="shared" si="4"/>
        <v>#REF!</v>
      </c>
      <c r="D38" s="41">
        <v>17</v>
      </c>
      <c r="E38" s="243" t="e">
        <f t="shared" si="12"/>
        <v>#REF!</v>
      </c>
      <c r="F38" s="42" t="e">
        <f t="shared" si="10"/>
        <v>#REF!</v>
      </c>
      <c r="G38" s="232" t="e">
        <f t="shared" si="5"/>
        <v>#REF!</v>
      </c>
      <c r="H38" s="239" t="e">
        <f t="shared" si="6"/>
        <v>#REF!</v>
      </c>
      <c r="I38" s="234" t="e">
        <f t="shared" si="3"/>
        <v>#REF!</v>
      </c>
      <c r="J38" s="218" t="s">
        <v>77</v>
      </c>
      <c r="K38" s="235" t="s">
        <v>77</v>
      </c>
      <c r="L38" s="240" t="s">
        <v>77</v>
      </c>
      <c r="M38" s="237" t="s">
        <v>77</v>
      </c>
      <c r="N38" s="241" t="s">
        <v>77</v>
      </c>
      <c r="O38" s="43" t="s">
        <v>77</v>
      </c>
      <c r="P38" s="1"/>
      <c r="Q38" s="44" t="e">
        <f t="shared" si="7"/>
        <v>#REF!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>
      <c r="A39" s="1"/>
      <c r="B39" s="1"/>
      <c r="C39" s="40" t="e">
        <f>MIN(C24:C38)</f>
        <v>#REF!</v>
      </c>
      <c r="D39" s="41"/>
      <c r="E39" s="243"/>
      <c r="F39" s="42"/>
      <c r="G39" s="232"/>
      <c r="H39" s="239"/>
      <c r="I39" s="234"/>
      <c r="J39" s="218"/>
      <c r="K39" s="235"/>
      <c r="L39" s="244"/>
      <c r="M39" s="237"/>
      <c r="N39" s="241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10642450.210000001</v>
      </c>
      <c r="L40" s="312">
        <f>SUM(M20:M38)</f>
        <v>0</v>
      </c>
      <c r="M40" s="376"/>
      <c r="N40" s="310">
        <f>SUM(O20:O38)</f>
        <v>0</v>
      </c>
      <c r="O40" s="379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>
      <c r="A41" s="1"/>
      <c r="B41" s="39"/>
      <c r="C41" s="39"/>
      <c r="D41" s="53" t="s">
        <v>57</v>
      </c>
      <c r="E41" s="54" t="e">
        <f>G11-E20-E21-E40</f>
        <v>#REF!</v>
      </c>
      <c r="F41" s="313" t="s">
        <v>73</v>
      </c>
      <c r="G41" s="359"/>
      <c r="H41" s="359"/>
      <c r="I41" s="55">
        <f>S41</f>
        <v>0</v>
      </c>
      <c r="J41" s="53" t="s">
        <v>59</v>
      </c>
      <c r="K41" s="54" t="e">
        <f>E40-K40</f>
        <v>#REF!</v>
      </c>
      <c r="L41" s="314" t="e">
        <f>G40-L40</f>
        <v>#REF!</v>
      </c>
      <c r="M41" s="359"/>
      <c r="N41" s="311" t="e">
        <f>H40-N40</f>
        <v>#REF!</v>
      </c>
      <c r="O41" s="360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>
      <c r="A43" s="1"/>
      <c r="B43" s="1"/>
      <c r="C43" s="1"/>
      <c r="D43" s="304" t="s">
        <v>22</v>
      </c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60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>
      <c r="A44" s="1"/>
      <c r="B44" s="1"/>
      <c r="C44" s="1"/>
      <c r="D44" s="305" t="s">
        <v>35</v>
      </c>
      <c r="E44" s="357"/>
      <c r="F44" s="375"/>
      <c r="G44" s="306" t="s">
        <v>60</v>
      </c>
      <c r="H44" s="357"/>
      <c r="I44" s="358"/>
      <c r="J44" s="305" t="s">
        <v>37</v>
      </c>
      <c r="K44" s="357"/>
      <c r="L44" s="357"/>
      <c r="M44" s="357"/>
      <c r="N44" s="357"/>
      <c r="O44" s="358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07" t="s">
        <v>43</v>
      </c>
      <c r="K45" s="380"/>
      <c r="L45" s="308" t="s">
        <v>41</v>
      </c>
      <c r="M45" s="381"/>
      <c r="N45" s="309" t="s">
        <v>42</v>
      </c>
      <c r="O45" s="365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>
      <c r="A46" s="1"/>
      <c r="B46" s="1"/>
      <c r="C46" s="1"/>
      <c r="D46" s="67">
        <v>1</v>
      </c>
      <c r="E46" s="243" t="e">
        <f t="shared" ref="E46:E49" si="15">HLOOKUP($O$3,#REF!,116+D46,0)</f>
        <v>#REF!</v>
      </c>
      <c r="F46" s="68"/>
      <c r="G46" s="232" t="e">
        <f t="shared" ref="G46:G49" si="16">HLOOKUP($O$3,#REF!,121+D46,0)</f>
        <v>#REF!</v>
      </c>
      <c r="H46" s="239" t="e">
        <f t="shared" ref="H46:H49" si="17">HLOOKUP($O$3,#REF!,126+D46,0)</f>
        <v>#REF!</v>
      </c>
      <c r="I46" s="234" t="e">
        <f t="shared" ref="I46:I49" si="18">G46+H46</f>
        <v>#REF!</v>
      </c>
      <c r="J46" s="218" t="s">
        <v>77</v>
      </c>
      <c r="K46" s="235" t="s">
        <v>77</v>
      </c>
      <c r="L46" s="236" t="s">
        <v>77</v>
      </c>
      <c r="M46" s="237" t="s">
        <v>77</v>
      </c>
      <c r="N46" s="238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>
      <c r="A47" s="1"/>
      <c r="B47" s="1"/>
      <c r="C47" s="1"/>
      <c r="D47" s="67">
        <v>2</v>
      </c>
      <c r="E47" s="243" t="e">
        <f t="shared" si="15"/>
        <v>#REF!</v>
      </c>
      <c r="F47" s="69"/>
      <c r="G47" s="232" t="e">
        <f t="shared" si="16"/>
        <v>#REF!</v>
      </c>
      <c r="H47" s="239" t="e">
        <f t="shared" si="17"/>
        <v>#REF!</v>
      </c>
      <c r="I47" s="234" t="e">
        <f t="shared" si="18"/>
        <v>#REF!</v>
      </c>
      <c r="J47" s="218" t="s">
        <v>77</v>
      </c>
      <c r="K47" s="235" t="s">
        <v>77</v>
      </c>
      <c r="L47" s="236" t="s">
        <v>77</v>
      </c>
      <c r="M47" s="237" t="s">
        <v>77</v>
      </c>
      <c r="N47" s="238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>
      <c r="A48" s="1"/>
      <c r="B48" s="1"/>
      <c r="C48" s="1"/>
      <c r="D48" s="67">
        <v>3</v>
      </c>
      <c r="E48" s="243" t="e">
        <f t="shared" si="15"/>
        <v>#REF!</v>
      </c>
      <c r="F48" s="69"/>
      <c r="G48" s="232" t="e">
        <f t="shared" si="16"/>
        <v>#REF!</v>
      </c>
      <c r="H48" s="239" t="e">
        <f t="shared" si="17"/>
        <v>#REF!</v>
      </c>
      <c r="I48" s="234" t="e">
        <f t="shared" si="18"/>
        <v>#REF!</v>
      </c>
      <c r="J48" s="218" t="s">
        <v>77</v>
      </c>
      <c r="K48" s="235" t="s">
        <v>77</v>
      </c>
      <c r="L48" s="236" t="s">
        <v>77</v>
      </c>
      <c r="M48" s="237" t="s">
        <v>77</v>
      </c>
      <c r="N48" s="238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>
      <c r="A49" s="1"/>
      <c r="B49" s="1"/>
      <c r="C49" s="1"/>
      <c r="D49" s="67">
        <v>4</v>
      </c>
      <c r="E49" s="243" t="e">
        <f t="shared" si="15"/>
        <v>#REF!</v>
      </c>
      <c r="F49" s="69"/>
      <c r="G49" s="232" t="e">
        <f t="shared" si="16"/>
        <v>#REF!</v>
      </c>
      <c r="H49" s="239" t="e">
        <f t="shared" si="17"/>
        <v>#REF!</v>
      </c>
      <c r="I49" s="234" t="e">
        <f t="shared" si="18"/>
        <v>#REF!</v>
      </c>
      <c r="J49" s="218" t="s">
        <v>77</v>
      </c>
      <c r="K49" s="235" t="s">
        <v>77</v>
      </c>
      <c r="L49" s="236" t="s">
        <v>77</v>
      </c>
      <c r="M49" s="237" t="s">
        <v>77</v>
      </c>
      <c r="N49" s="238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>
      <c r="A50" s="1"/>
      <c r="B50" s="1"/>
      <c r="C50" s="1"/>
      <c r="D50" s="67"/>
      <c r="E50" s="243"/>
      <c r="F50" s="69"/>
      <c r="G50" s="232"/>
      <c r="H50" s="239"/>
      <c r="I50" s="70"/>
      <c r="J50" s="218"/>
      <c r="K50" s="235"/>
      <c r="L50" s="244"/>
      <c r="M50" s="237"/>
      <c r="N50" s="241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12">
        <f>SUM(M46:M50)</f>
        <v>0</v>
      </c>
      <c r="M51" s="376"/>
      <c r="N51" s="310">
        <f>SUM(O46:O50)</f>
        <v>0</v>
      </c>
      <c r="O51" s="379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>
      <c r="A52" s="1"/>
      <c r="B52" s="1"/>
      <c r="C52" s="1"/>
      <c r="D52" s="53" t="s">
        <v>57</v>
      </c>
      <c r="E52" s="54" t="e">
        <f>H11-E51</f>
        <v>#REF!</v>
      </c>
      <c r="F52" s="313" t="s">
        <v>62</v>
      </c>
      <c r="G52" s="359"/>
      <c r="H52" s="359"/>
      <c r="I52" s="55" t="e">
        <f>T41</f>
        <v>#REF!</v>
      </c>
      <c r="J52" s="53" t="s">
        <v>59</v>
      </c>
      <c r="K52" s="54" t="e">
        <f>E51-K51</f>
        <v>#REF!</v>
      </c>
      <c r="L52" s="314" t="e">
        <f>G51-L51</f>
        <v>#REF!</v>
      </c>
      <c r="M52" s="359"/>
      <c r="N52" s="311" t="e">
        <f>H51-N51</f>
        <v>#REF!</v>
      </c>
      <c r="O52" s="360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>
      <c r="A54" s="1"/>
      <c r="B54" s="1"/>
      <c r="C54" s="1"/>
      <c r="D54" s="304" t="s">
        <v>63</v>
      </c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60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>
      <c r="A55" s="1"/>
      <c r="B55" s="1"/>
      <c r="C55" s="1"/>
      <c r="D55" s="305" t="s">
        <v>35</v>
      </c>
      <c r="E55" s="357"/>
      <c r="F55" s="375"/>
      <c r="G55" s="306"/>
      <c r="H55" s="357"/>
      <c r="I55" s="358"/>
      <c r="J55" s="305" t="s">
        <v>37</v>
      </c>
      <c r="K55" s="357"/>
      <c r="L55" s="357"/>
      <c r="M55" s="357"/>
      <c r="N55" s="357"/>
      <c r="O55" s="358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07" t="s">
        <v>43</v>
      </c>
      <c r="K56" s="380"/>
      <c r="L56" s="308"/>
      <c r="M56" s="381"/>
      <c r="N56" s="309"/>
      <c r="O56" s="365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>
      <c r="A57" s="1"/>
      <c r="B57" s="1"/>
      <c r="C57" s="1"/>
      <c r="D57" s="67">
        <v>1</v>
      </c>
      <c r="E57" s="243" t="e">
        <f t="shared" ref="E57:E60" si="20">HLOOKUP($O$3,#REF!,131+D57,0)</f>
        <v>#REF!</v>
      </c>
      <c r="F57" s="69"/>
      <c r="G57" s="232"/>
      <c r="H57" s="239"/>
      <c r="I57" s="234"/>
      <c r="J57" s="218" t="s">
        <v>77</v>
      </c>
      <c r="K57" s="235" t="s">
        <v>77</v>
      </c>
      <c r="L57" s="236"/>
      <c r="M57" s="237"/>
      <c r="N57" s="238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>
      <c r="A58" s="1"/>
      <c r="B58" s="39"/>
      <c r="C58" s="1"/>
      <c r="D58" s="67">
        <v>2</v>
      </c>
      <c r="E58" s="243" t="e">
        <f t="shared" si="20"/>
        <v>#REF!</v>
      </c>
      <c r="F58" s="69"/>
      <c r="G58" s="232"/>
      <c r="H58" s="239"/>
      <c r="I58" s="234"/>
      <c r="J58" s="218" t="s">
        <v>77</v>
      </c>
      <c r="K58" s="235" t="s">
        <v>77</v>
      </c>
      <c r="L58" s="236"/>
      <c r="M58" s="237"/>
      <c r="N58" s="238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>
      <c r="A59" s="1"/>
      <c r="B59" s="39"/>
      <c r="C59" s="1"/>
      <c r="D59" s="67">
        <v>3</v>
      </c>
      <c r="E59" s="243" t="e">
        <f t="shared" si="20"/>
        <v>#REF!</v>
      </c>
      <c r="F59" s="69"/>
      <c r="G59" s="232"/>
      <c r="H59" s="239"/>
      <c r="I59" s="234"/>
      <c r="J59" s="218" t="s">
        <v>77</v>
      </c>
      <c r="K59" s="235" t="s">
        <v>77</v>
      </c>
      <c r="L59" s="236"/>
      <c r="M59" s="237"/>
      <c r="N59" s="238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>
      <c r="A60" s="1"/>
      <c r="B60" s="39"/>
      <c r="C60" s="1"/>
      <c r="D60" s="67">
        <v>4</v>
      </c>
      <c r="E60" s="243" t="e">
        <f t="shared" si="20"/>
        <v>#REF!</v>
      </c>
      <c r="F60" s="69"/>
      <c r="G60" s="232"/>
      <c r="H60" s="239"/>
      <c r="I60" s="234"/>
      <c r="J60" s="218" t="s">
        <v>77</v>
      </c>
      <c r="K60" s="235" t="s">
        <v>77</v>
      </c>
      <c r="L60" s="236"/>
      <c r="M60" s="237"/>
      <c r="N60" s="238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>
      <c r="A61" s="1"/>
      <c r="B61" s="1"/>
      <c r="C61" s="1"/>
      <c r="D61" s="67"/>
      <c r="E61" s="243"/>
      <c r="F61" s="69"/>
      <c r="G61" s="232"/>
      <c r="H61" s="239"/>
      <c r="I61" s="70"/>
      <c r="J61" s="218"/>
      <c r="K61" s="235"/>
      <c r="L61" s="244"/>
      <c r="M61" s="237"/>
      <c r="N61" s="241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12"/>
      <c r="M62" s="376"/>
      <c r="N62" s="310"/>
      <c r="O62" s="379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>
      <c r="A63" s="1"/>
      <c r="B63" s="1"/>
      <c r="C63" s="1"/>
      <c r="D63" s="53" t="s">
        <v>57</v>
      </c>
      <c r="E63" s="54" t="e">
        <f>J11-E62</f>
        <v>#REF!</v>
      </c>
      <c r="F63" s="245"/>
      <c r="G63" s="71"/>
      <c r="H63" s="72">
        <f>E39</f>
        <v>0</v>
      </c>
      <c r="I63" s="246">
        <f>SUM(H63)</f>
        <v>0</v>
      </c>
      <c r="J63" s="53" t="s">
        <v>59</v>
      </c>
      <c r="K63" s="54" t="e">
        <f>E62-K62</f>
        <v>#REF!</v>
      </c>
      <c r="L63" s="314"/>
      <c r="M63" s="359"/>
      <c r="N63" s="311"/>
      <c r="O63" s="360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>
      <c r="A64" s="1"/>
      <c r="B64" s="1"/>
      <c r="C64" s="1"/>
      <c r="D64" s="73"/>
      <c r="E64" s="247"/>
      <c r="F64" s="248"/>
      <c r="G64" s="248"/>
      <c r="H64" s="249"/>
      <c r="I64" s="248"/>
      <c r="J64" s="248"/>
      <c r="K64" s="248"/>
      <c r="L64" s="250"/>
      <c r="M64" s="248"/>
      <c r="N64" s="248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>
      <c r="A65" s="1"/>
      <c r="B65" s="1"/>
      <c r="C65" s="1"/>
      <c r="D65" s="304" t="s">
        <v>64</v>
      </c>
      <c r="E65" s="359"/>
      <c r="F65" s="359"/>
      <c r="G65" s="359"/>
      <c r="H65" s="359"/>
      <c r="I65" s="359"/>
      <c r="J65" s="359"/>
      <c r="K65" s="359"/>
      <c r="L65" s="359"/>
      <c r="M65" s="359"/>
      <c r="N65" s="359"/>
      <c r="O65" s="360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>
      <c r="A66" s="1"/>
      <c r="B66" s="1"/>
      <c r="C66" s="1"/>
      <c r="D66" s="305" t="s">
        <v>35</v>
      </c>
      <c r="E66" s="357"/>
      <c r="F66" s="375"/>
      <c r="G66" s="306"/>
      <c r="H66" s="357"/>
      <c r="I66" s="358"/>
      <c r="J66" s="305" t="s">
        <v>37</v>
      </c>
      <c r="K66" s="357"/>
      <c r="L66" s="357"/>
      <c r="M66" s="357"/>
      <c r="N66" s="357"/>
      <c r="O66" s="358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07" t="s">
        <v>43</v>
      </c>
      <c r="K67" s="380"/>
      <c r="L67" s="308"/>
      <c r="M67" s="381"/>
      <c r="N67" s="309"/>
      <c r="O67" s="365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>
      <c r="A68" s="1"/>
      <c r="B68" s="1"/>
      <c r="C68" s="1"/>
      <c r="D68" s="67">
        <v>1</v>
      </c>
      <c r="E68" s="243" t="e">
        <f t="shared" ref="E68:E71" si="21">HLOOKUP($O$3,#REF!,137+D68,0)</f>
        <v>#REF!</v>
      </c>
      <c r="F68" s="69"/>
      <c r="G68" s="232"/>
      <c r="H68" s="239"/>
      <c r="I68" s="234"/>
      <c r="J68" s="218" t="s">
        <v>77</v>
      </c>
      <c r="K68" s="235" t="s">
        <v>77</v>
      </c>
      <c r="L68" s="236"/>
      <c r="M68" s="237"/>
      <c r="N68" s="238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>
      <c r="A69" s="1"/>
      <c r="B69" s="1"/>
      <c r="C69" s="1"/>
      <c r="D69" s="67">
        <v>2</v>
      </c>
      <c r="E69" s="243" t="e">
        <f t="shared" si="21"/>
        <v>#REF!</v>
      </c>
      <c r="F69" s="69"/>
      <c r="G69" s="232"/>
      <c r="H69" s="239"/>
      <c r="I69" s="234"/>
      <c r="J69" s="218" t="s">
        <v>77</v>
      </c>
      <c r="K69" s="235" t="s">
        <v>77</v>
      </c>
      <c r="L69" s="236"/>
      <c r="M69" s="237"/>
      <c r="N69" s="238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>
      <c r="A70" s="1"/>
      <c r="B70" s="1"/>
      <c r="C70" s="1"/>
      <c r="D70" s="67">
        <v>3</v>
      </c>
      <c r="E70" s="243" t="e">
        <f t="shared" si="21"/>
        <v>#REF!</v>
      </c>
      <c r="F70" s="69"/>
      <c r="G70" s="232"/>
      <c r="H70" s="239"/>
      <c r="I70" s="234"/>
      <c r="J70" s="218" t="s">
        <v>77</v>
      </c>
      <c r="K70" s="235" t="s">
        <v>77</v>
      </c>
      <c r="L70" s="236"/>
      <c r="M70" s="237"/>
      <c r="N70" s="238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>
      <c r="A71" s="1"/>
      <c r="B71" s="1"/>
      <c r="C71" s="1"/>
      <c r="D71" s="67">
        <v>4</v>
      </c>
      <c r="E71" s="243" t="e">
        <f t="shared" si="21"/>
        <v>#REF!</v>
      </c>
      <c r="F71" s="69"/>
      <c r="G71" s="232"/>
      <c r="H71" s="239"/>
      <c r="I71" s="234"/>
      <c r="J71" s="218" t="s">
        <v>77</v>
      </c>
      <c r="K71" s="235" t="s">
        <v>77</v>
      </c>
      <c r="L71" s="236"/>
      <c r="M71" s="237"/>
      <c r="N71" s="238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>
      <c r="A72" s="1"/>
      <c r="B72" s="1"/>
      <c r="C72" s="1"/>
      <c r="D72" s="67"/>
      <c r="E72" s="243"/>
      <c r="F72" s="69"/>
      <c r="G72" s="232"/>
      <c r="H72" s="239"/>
      <c r="I72" s="70"/>
      <c r="J72" s="218"/>
      <c r="K72" s="235"/>
      <c r="L72" s="244"/>
      <c r="M72" s="237"/>
      <c r="N72" s="241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12"/>
      <c r="M73" s="376"/>
      <c r="N73" s="310"/>
      <c r="O73" s="379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>
      <c r="A74" s="1"/>
      <c r="B74" s="1"/>
      <c r="C74" s="1"/>
      <c r="D74" s="53" t="s">
        <v>57</v>
      </c>
      <c r="E74" s="54" t="e">
        <f>L11-E73</f>
        <v>#REF!</v>
      </c>
      <c r="F74" s="245"/>
      <c r="G74" s="71"/>
      <c r="H74" s="72"/>
      <c r="I74" s="246"/>
      <c r="J74" s="53" t="s">
        <v>59</v>
      </c>
      <c r="K74" s="54" t="e">
        <f>E73-K73</f>
        <v>#REF!</v>
      </c>
      <c r="L74" s="314"/>
      <c r="M74" s="359"/>
      <c r="N74" s="311"/>
      <c r="O74" s="360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>
      <c r="A75" s="1"/>
      <c r="B75" s="1"/>
      <c r="C75" s="1"/>
      <c r="D75" s="73"/>
      <c r="E75" s="247"/>
      <c r="F75" s="248"/>
      <c r="G75" s="248"/>
      <c r="H75" s="249"/>
      <c r="I75" s="248"/>
      <c r="J75" s="248"/>
      <c r="K75" s="248"/>
      <c r="L75" s="250"/>
      <c r="M75" s="248"/>
      <c r="N75" s="248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>
      <c r="A76" s="1"/>
      <c r="B76" s="1"/>
      <c r="C76" s="1"/>
      <c r="D76" s="304"/>
      <c r="E76" s="359"/>
      <c r="F76" s="359"/>
      <c r="G76" s="359"/>
      <c r="H76" s="359"/>
      <c r="I76" s="359"/>
      <c r="J76" s="359"/>
      <c r="K76" s="359"/>
      <c r="L76" s="359"/>
      <c r="M76" s="359"/>
      <c r="N76" s="359"/>
      <c r="O76" s="360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>
      <c r="A77" s="1"/>
      <c r="B77" s="1"/>
      <c r="C77" s="1"/>
      <c r="D77" s="305"/>
      <c r="E77" s="357"/>
      <c r="F77" s="357"/>
      <c r="G77" s="357"/>
      <c r="H77" s="357"/>
      <c r="I77" s="358"/>
      <c r="J77" s="305"/>
      <c r="K77" s="357"/>
      <c r="L77" s="357"/>
      <c r="M77" s="357"/>
      <c r="N77" s="357"/>
      <c r="O77" s="358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>
      <c r="A78" s="1"/>
      <c r="B78" s="1"/>
      <c r="C78" s="1"/>
      <c r="D78" s="75"/>
      <c r="E78" s="62"/>
      <c r="F78" s="315"/>
      <c r="G78" s="380"/>
      <c r="H78" s="315"/>
      <c r="I78" s="380"/>
      <c r="J78" s="307"/>
      <c r="K78" s="380"/>
      <c r="L78" s="308"/>
      <c r="M78" s="381"/>
      <c r="N78" s="309"/>
      <c r="O78" s="365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>
      <c r="A79" s="1"/>
      <c r="B79" s="1"/>
      <c r="C79" s="1"/>
      <c r="D79" s="67"/>
      <c r="E79" s="243"/>
      <c r="F79" s="316"/>
      <c r="G79" s="382"/>
      <c r="H79" s="316"/>
      <c r="I79" s="382"/>
      <c r="J79" s="218"/>
      <c r="K79" s="235"/>
      <c r="L79" s="244"/>
      <c r="M79" s="237"/>
      <c r="N79" s="241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>
      <c r="A80" s="1"/>
      <c r="B80" s="1"/>
      <c r="C80" s="1"/>
      <c r="D80" s="67"/>
      <c r="E80" s="243"/>
      <c r="F80" s="317"/>
      <c r="G80" s="377"/>
      <c r="H80" s="317"/>
      <c r="I80" s="377"/>
      <c r="J80" s="218"/>
      <c r="K80" s="235"/>
      <c r="L80" s="244"/>
      <c r="M80" s="237"/>
      <c r="N80" s="241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>
      <c r="A81" s="1"/>
      <c r="B81" s="1"/>
      <c r="C81" s="1"/>
      <c r="D81" s="67"/>
      <c r="E81" s="243"/>
      <c r="F81" s="317"/>
      <c r="G81" s="377"/>
      <c r="H81" s="317"/>
      <c r="I81" s="377"/>
      <c r="J81" s="218"/>
      <c r="K81" s="235"/>
      <c r="L81" s="244"/>
      <c r="M81" s="237"/>
      <c r="N81" s="241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>
      <c r="A82" s="1"/>
      <c r="B82" s="1"/>
      <c r="C82" s="1"/>
      <c r="D82" s="67"/>
      <c r="E82" s="243"/>
      <c r="F82" s="317"/>
      <c r="G82" s="377"/>
      <c r="H82" s="317"/>
      <c r="I82" s="377"/>
      <c r="J82" s="218"/>
      <c r="K82" s="235"/>
      <c r="L82" s="244"/>
      <c r="M82" s="237"/>
      <c r="N82" s="241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>
      <c r="A83" s="1"/>
      <c r="B83" s="1"/>
      <c r="C83" s="1"/>
      <c r="D83" s="67"/>
      <c r="E83" s="243"/>
      <c r="F83" s="318"/>
      <c r="G83" s="383"/>
      <c r="H83" s="318"/>
      <c r="I83" s="383"/>
      <c r="J83" s="218"/>
      <c r="K83" s="235"/>
      <c r="L83" s="244"/>
      <c r="M83" s="237"/>
      <c r="N83" s="241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12"/>
      <c r="M84" s="376"/>
      <c r="N84" s="310"/>
      <c r="O84" s="379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/>
    <row r="276" spans="1:30" ht="15.75" customHeight="1"/>
    <row r="277" spans="1:30" ht="15.75" customHeight="1"/>
    <row r="278" spans="1:30" ht="15.75" customHeight="1"/>
    <row r="279" spans="1:30" ht="15.75" customHeight="1"/>
    <row r="280" spans="1:30" ht="15.75" customHeight="1"/>
    <row r="281" spans="1:30" ht="15.75" customHeight="1"/>
    <row r="282" spans="1:30" ht="15.75" customHeight="1"/>
    <row r="283" spans="1:30" ht="15.75" customHeight="1"/>
    <row r="284" spans="1:30" ht="15.75" customHeight="1"/>
    <row r="285" spans="1:30" ht="15.75" customHeight="1"/>
    <row r="286" spans="1:30" ht="15.75" customHeight="1"/>
    <row r="287" spans="1:30" ht="15.75" customHeight="1"/>
    <row r="288" spans="1:30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8"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  <mergeCell ref="Q19:T19"/>
    <mergeCell ref="J15:K15"/>
    <mergeCell ref="L15:M15"/>
    <mergeCell ref="N15:O15"/>
    <mergeCell ref="D17:O17"/>
    <mergeCell ref="D18:F18"/>
    <mergeCell ref="G18:I18"/>
    <mergeCell ref="J18:O18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J10:K10"/>
    <mergeCell ref="L10:M10"/>
    <mergeCell ref="N10:O10"/>
    <mergeCell ref="J11:K11"/>
    <mergeCell ref="L11:M11"/>
    <mergeCell ref="N11:O11"/>
    <mergeCell ref="H7:I8"/>
    <mergeCell ref="J7:K8"/>
    <mergeCell ref="L7:M8"/>
    <mergeCell ref="N7:O8"/>
    <mergeCell ref="D9:O9"/>
    <mergeCell ref="D1:E1"/>
    <mergeCell ref="L2:O2"/>
    <mergeCell ref="E3:N3"/>
    <mergeCell ref="D4:O4"/>
    <mergeCell ref="J5:K6"/>
    <mergeCell ref="L5:M6"/>
    <mergeCell ref="N5:O6"/>
    <mergeCell ref="H5:I6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</mergeCells>
  <conditionalFormatting sqref="E5">
    <cfRule type="expression" dxfId="396" priority="1">
      <formula>IF(TODAY()&gt;=E5+355,1,0)</formula>
    </cfRule>
  </conditionalFormatting>
  <conditionalFormatting sqref="E22:E42 E45:E53 E56:E64 E67:E71">
    <cfRule type="expression" dxfId="395" priority="2">
      <formula>IF(K22:K71="DEV",1,IF(K22:K71="no pago",1,0))</formula>
    </cfRule>
  </conditionalFormatting>
  <conditionalFormatting sqref="G22:G40 G42 G44:G51 G53 G55:G64 G66:G71">
    <cfRule type="expression" dxfId="394" priority="3">
      <formula>IF(M22:M71="DEV",1,IF(M22:M71="no pago",1,0))</formula>
    </cfRule>
  </conditionalFormatting>
  <conditionalFormatting sqref="H22:H40 H42 H45:H51 H53 H56:H64 H67:H71">
    <cfRule type="expression" dxfId="393" priority="4">
      <formula>IF(O22:O71="DEV",1,IF(O22:O71="no pago",1,0))</formula>
    </cfRule>
  </conditionalFormatting>
  <conditionalFormatting sqref="K20:K38">
    <cfRule type="cellIs" dxfId="392" priority="5" operator="lessThan">
      <formula>E20:E28</formula>
    </cfRule>
  </conditionalFormatting>
  <conditionalFormatting sqref="K46:K49 K68:K71">
    <cfRule type="cellIs" dxfId="391" priority="6" operator="lessThan">
      <formula>E46:E49</formula>
    </cfRule>
  </conditionalFormatting>
  <conditionalFormatting sqref="K57:K60">
    <cfRule type="cellIs" dxfId="390" priority="7" operator="lessThan">
      <formula>E57:E60</formula>
    </cfRule>
  </conditionalFormatting>
  <conditionalFormatting sqref="K68:K71">
    <cfRule type="cellIs" dxfId="389" priority="8" operator="lessThan">
      <formula>E68:E71</formula>
    </cfRule>
  </conditionalFormatting>
  <conditionalFormatting sqref="J20:O39 J46:O49 J57:O60 J68:O71">
    <cfRule type="cellIs" dxfId="388" priority="9" operator="between">
      <formula>TODAY()-20</formula>
      <formula>TODAY()</formula>
    </cfRule>
  </conditionalFormatting>
  <conditionalFormatting sqref="K20:K38 K46:K49 K57:K60 K68:K71 K80:K82 M20:M38 M46:M49 M57:M60 M68:M71 O20:O38 O46:O49 O57:O60 O68:O71">
    <cfRule type="cellIs" dxfId="387" priority="10" operator="equal">
      <formula>"DEV"</formula>
    </cfRule>
  </conditionalFormatting>
  <conditionalFormatting sqref="K20:K38 K46:K49 K57:K60 K68:K71 K80:K82 M20:M38 M46:M49 M57:M60 M68:M71 O20:O38 O46:O49 O57:O60 O68:O71">
    <cfRule type="cellIs" dxfId="386" priority="11" operator="equal">
      <formula>"no pago"</formula>
    </cfRule>
  </conditionalFormatting>
  <conditionalFormatting sqref="N7:O8">
    <cfRule type="cellIs" dxfId="385" priority="12" operator="equal">
      <formula>"PARALIZADA"</formula>
    </cfRule>
  </conditionalFormatting>
  <conditionalFormatting sqref="N7:O8">
    <cfRule type="cellIs" dxfId="384" priority="13" operator="equal">
      <formula>"EN EJECUCIÓN"</formula>
    </cfRule>
  </conditionalFormatting>
  <conditionalFormatting sqref="N7:O8">
    <cfRule type="cellIs" dxfId="383" priority="14" operator="equal">
      <formula>"TERMINADA"</formula>
    </cfRule>
  </conditionalFormatting>
  <conditionalFormatting sqref="N7:O8">
    <cfRule type="cellIs" dxfId="382" priority="15" operator="equal">
      <formula>"COMPLETADA"</formula>
    </cfRule>
  </conditionalFormatting>
  <hyperlinks>
    <hyperlink ref="O1" location="null!A1" display="&lt; VOLVER" xr:uid="{00000000-0004-0000-0700-000000000000}"/>
    <hyperlink ref="Q3" location="null!A1" display="'BASE DATOS'!A1" xr:uid="{00000000-0004-0000-07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E1000"/>
  <sheetViews>
    <sheetView workbookViewId="0"/>
  </sheetViews>
  <sheetFormatPr defaultColWidth="14.42578125" defaultRowHeight="15" customHeight="1"/>
  <cols>
    <col min="1" max="1" width="11" customWidth="1"/>
    <col min="2" max="2" width="2.7109375" customWidth="1"/>
    <col min="3" max="3" width="11.7109375" customWidth="1"/>
    <col min="4" max="4" width="6.42578125" customWidth="1"/>
    <col min="5" max="5" width="20.28515625" customWidth="1"/>
    <col min="6" max="7" width="20.5703125" customWidth="1"/>
    <col min="8" max="8" width="22" customWidth="1"/>
    <col min="9" max="9" width="21.85546875" customWidth="1"/>
    <col min="10" max="10" width="21.5703125" customWidth="1"/>
    <col min="11" max="11" width="11.85546875" customWidth="1"/>
    <col min="12" max="12" width="18" customWidth="1"/>
    <col min="13" max="13" width="11" customWidth="1"/>
    <col min="14" max="14" width="16.42578125" customWidth="1"/>
    <col min="15" max="15" width="11" customWidth="1"/>
    <col min="16" max="16" width="16" customWidth="1"/>
    <col min="17" max="17" width="2.5703125" customWidth="1"/>
    <col min="18" max="18" width="11.140625" customWidth="1"/>
    <col min="19" max="19" width="1.42578125" customWidth="1"/>
    <col min="20" max="21" width="25.28515625" customWidth="1"/>
    <col min="22" max="22" width="15.7109375" customWidth="1"/>
    <col min="23" max="23" width="9" customWidth="1"/>
    <col min="24" max="24" width="12.140625" customWidth="1"/>
    <col min="25" max="25" width="9" customWidth="1"/>
    <col min="26" max="26" width="6.7109375" customWidth="1"/>
    <col min="27" max="27" width="8.5703125" customWidth="1"/>
    <col min="28" max="28" width="8.140625" customWidth="1"/>
    <col min="29" max="29" width="26.85546875" customWidth="1"/>
    <col min="30" max="30" width="26" customWidth="1"/>
    <col min="31" max="31" width="11.42578125" customWidth="1"/>
  </cols>
  <sheetData>
    <row r="1" spans="1:31">
      <c r="A1" s="1"/>
      <c r="B1" s="1"/>
      <c r="C1" s="2"/>
      <c r="D1" s="2"/>
      <c r="E1" s="319"/>
      <c r="F1" s="356"/>
      <c r="G1" s="3"/>
      <c r="H1" s="1"/>
      <c r="I1" s="1"/>
      <c r="J1" s="4"/>
      <c r="K1" s="1"/>
      <c r="L1" s="1"/>
      <c r="M1" s="58"/>
      <c r="N1" s="1"/>
      <c r="O1" s="1"/>
      <c r="P1" s="5" t="s">
        <v>0</v>
      </c>
      <c r="Q1" s="1"/>
      <c r="R1" s="1"/>
      <c r="S1" s="1"/>
      <c r="T1" s="4"/>
      <c r="U1" s="4"/>
      <c r="V1" s="4"/>
      <c r="W1" s="1"/>
      <c r="X1" s="1"/>
      <c r="Y1" s="1"/>
      <c r="Z1" s="1"/>
      <c r="AA1" s="1"/>
      <c r="AB1" s="1"/>
      <c r="AC1" s="1"/>
      <c r="AD1" s="1"/>
      <c r="AE1" s="1"/>
    </row>
    <row r="2" spans="1:31" hidden="1">
      <c r="A2" s="1"/>
      <c r="B2" s="1"/>
      <c r="C2" s="2"/>
      <c r="D2" s="2"/>
      <c r="E2" s="3"/>
      <c r="F2" s="3"/>
      <c r="G2" s="1"/>
      <c r="H2" s="1"/>
      <c r="I2" s="1"/>
      <c r="J2" s="4"/>
      <c r="K2" s="1"/>
      <c r="L2" s="1"/>
      <c r="M2" s="320">
        <v>1</v>
      </c>
      <c r="N2" s="356"/>
      <c r="O2" s="356"/>
      <c r="P2" s="356"/>
      <c r="Q2" s="1"/>
      <c r="R2" s="1"/>
      <c r="S2" s="1"/>
      <c r="T2" s="4"/>
      <c r="U2" s="4"/>
      <c r="V2" s="4"/>
      <c r="W2" s="1"/>
      <c r="X2" s="1"/>
      <c r="Y2" s="1"/>
      <c r="Z2" s="1"/>
      <c r="AA2" s="1"/>
      <c r="AB2" s="1"/>
      <c r="AC2" s="1"/>
      <c r="AD2" s="1"/>
      <c r="AE2" s="1"/>
    </row>
    <row r="3" spans="1:31" ht="31.5">
      <c r="A3" s="1"/>
      <c r="B3" s="1"/>
      <c r="C3" s="1"/>
      <c r="D3" s="1"/>
      <c r="E3" s="7" t="s">
        <v>2</v>
      </c>
      <c r="F3" s="349" t="e">
        <f>HLOOKUP($P$3,#REF!,2,0)</f>
        <v>#REF!</v>
      </c>
      <c r="G3" s="357"/>
      <c r="H3" s="357"/>
      <c r="I3" s="357"/>
      <c r="J3" s="357"/>
      <c r="K3" s="357"/>
      <c r="L3" s="357"/>
      <c r="M3" s="357"/>
      <c r="N3" s="357"/>
      <c r="O3" s="358"/>
      <c r="P3" s="8">
        <v>9</v>
      </c>
      <c r="Q3" s="1"/>
      <c r="R3" s="9" t="s">
        <v>1</v>
      </c>
      <c r="S3" s="1"/>
      <c r="T3" s="4"/>
      <c r="U3" s="4"/>
      <c r="V3" s="4"/>
      <c r="W3" s="1"/>
      <c r="X3" s="1"/>
      <c r="Y3" s="1"/>
      <c r="Z3" s="1"/>
      <c r="AA3" s="1"/>
      <c r="AB3" s="1"/>
      <c r="AC3" s="1"/>
      <c r="AD3" s="1"/>
      <c r="AE3" s="1"/>
    </row>
    <row r="4" spans="1:31" ht="23.25">
      <c r="A4" s="1"/>
      <c r="B4" s="1"/>
      <c r="C4" s="1"/>
      <c r="D4" s="1"/>
      <c r="E4" s="304" t="s">
        <v>4</v>
      </c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60"/>
      <c r="Q4" s="1"/>
      <c r="R4" s="1"/>
      <c r="S4" s="1"/>
      <c r="T4" s="4"/>
      <c r="U4" s="4"/>
      <c r="V4" s="4"/>
      <c r="W4" s="1"/>
      <c r="X4" s="1"/>
      <c r="Y4" s="1"/>
      <c r="Z4" s="1"/>
      <c r="AA4" s="1"/>
      <c r="AB4" s="1"/>
      <c r="AC4" s="1"/>
      <c r="AD4" s="1"/>
      <c r="AE4" s="1"/>
    </row>
    <row r="5" spans="1:31" ht="15.75">
      <c r="A5" s="1"/>
      <c r="B5" s="1"/>
      <c r="C5" s="1"/>
      <c r="D5" s="1"/>
      <c r="E5" s="85" t="s">
        <v>69</v>
      </c>
      <c r="F5" s="90">
        <v>44053</v>
      </c>
      <c r="G5" s="12" t="s">
        <v>6</v>
      </c>
      <c r="H5" s="13" t="e">
        <f>HLOOKUP($P$3,#REF!,6,0)</f>
        <v>#REF!</v>
      </c>
      <c r="I5" s="325" t="s">
        <v>7</v>
      </c>
      <c r="J5" s="361"/>
      <c r="K5" s="322" t="e">
        <f>C41/H11</f>
        <v>#REF!</v>
      </c>
      <c r="L5" s="362"/>
      <c r="M5" s="323" t="s">
        <v>8</v>
      </c>
      <c r="N5" s="361"/>
      <c r="O5" s="324">
        <f ca="1">+TODAY()</f>
        <v>44769</v>
      </c>
      <c r="P5" s="362"/>
      <c r="Q5" s="1"/>
      <c r="R5" s="1"/>
      <c r="S5" s="4"/>
      <c r="T5" s="4"/>
      <c r="U5" s="4"/>
      <c r="V5" s="4"/>
      <c r="W5" s="1"/>
      <c r="X5" s="1"/>
      <c r="Y5" s="1"/>
      <c r="Z5" s="1"/>
      <c r="AA5" s="1"/>
      <c r="AB5" s="1"/>
      <c r="AC5" s="1"/>
      <c r="AD5" s="1"/>
      <c r="AE5" s="1"/>
    </row>
    <row r="6" spans="1:31" ht="15.75">
      <c r="A6" s="1"/>
      <c r="B6" s="1"/>
      <c r="C6" s="1"/>
      <c r="D6" s="1"/>
      <c r="E6" s="192" t="s">
        <v>9</v>
      </c>
      <c r="F6" s="14" t="e">
        <f>HLOOKUP($P$3,#REF!,4,0)</f>
        <v>#REF!</v>
      </c>
      <c r="G6" s="192" t="s">
        <v>10</v>
      </c>
      <c r="H6" s="14" t="e">
        <f>HLOOKUP($P$3,#REF!,5,0)</f>
        <v>#REF!</v>
      </c>
      <c r="I6" s="363"/>
      <c r="J6" s="364"/>
      <c r="K6" s="364"/>
      <c r="L6" s="365"/>
      <c r="M6" s="363"/>
      <c r="N6" s="364"/>
      <c r="O6" s="364"/>
      <c r="P6" s="365"/>
      <c r="Q6" s="1"/>
      <c r="R6" s="1"/>
      <c r="S6" s="4"/>
      <c r="T6" s="4"/>
      <c r="U6" s="4"/>
      <c r="V6" s="4"/>
      <c r="W6" s="1"/>
      <c r="X6" s="1"/>
      <c r="Y6" s="1"/>
      <c r="Z6" s="1"/>
      <c r="AA6" s="1"/>
      <c r="AB6" s="1"/>
      <c r="AC6" s="1"/>
      <c r="AD6" s="1"/>
      <c r="AE6" s="1"/>
    </row>
    <row r="7" spans="1:31" ht="15.75">
      <c r="A7" s="1"/>
      <c r="B7" s="1"/>
      <c r="C7" s="1"/>
      <c r="D7" s="1"/>
      <c r="E7" s="192" t="s">
        <v>11</v>
      </c>
      <c r="F7" s="81" t="e">
        <f>HLOOKUP($P$3,#REF!,9,0)</f>
        <v>#REF!</v>
      </c>
      <c r="G7" s="193" t="s">
        <v>12</v>
      </c>
      <c r="H7" s="82" t="e">
        <f>HLOOKUP($P$3,#REF!,7,0)</f>
        <v>#REF!</v>
      </c>
      <c r="I7" s="326" t="s">
        <v>13</v>
      </c>
      <c r="J7" s="366"/>
      <c r="K7" s="327" t="e">
        <f>(H13+G13+F13)/H11</f>
        <v>#REF!</v>
      </c>
      <c r="L7" s="367"/>
      <c r="M7" s="328" t="s">
        <v>14</v>
      </c>
      <c r="N7" s="366"/>
      <c r="O7" s="345" t="s">
        <v>15</v>
      </c>
      <c r="P7" s="367"/>
      <c r="Q7" s="1"/>
      <c r="R7" s="1"/>
      <c r="S7" s="4"/>
      <c r="T7" s="4"/>
      <c r="U7" s="4"/>
      <c r="V7" s="4"/>
      <c r="W7" s="1"/>
      <c r="X7" s="1"/>
      <c r="Y7" s="1"/>
      <c r="Z7" s="1"/>
      <c r="AA7" s="1"/>
      <c r="AB7" s="1"/>
      <c r="AC7" s="1"/>
      <c r="AD7" s="1"/>
      <c r="AE7" s="1"/>
    </row>
    <row r="8" spans="1:31" ht="15.75">
      <c r="A8" s="1"/>
      <c r="B8" s="1"/>
      <c r="C8" s="1"/>
      <c r="D8" s="1"/>
      <c r="E8" s="194" t="s">
        <v>16</v>
      </c>
      <c r="F8" s="195" t="e">
        <f>HLOOKUP($P$3,#REF!,10,0)</f>
        <v>#REF!</v>
      </c>
      <c r="G8" s="196" t="s">
        <v>17</v>
      </c>
      <c r="H8" s="197" t="e">
        <f>+H7+F7+F8</f>
        <v>#REF!</v>
      </c>
      <c r="I8" s="368"/>
      <c r="J8" s="369"/>
      <c r="K8" s="369"/>
      <c r="L8" s="370"/>
      <c r="M8" s="368"/>
      <c r="N8" s="369"/>
      <c r="O8" s="369"/>
      <c r="P8" s="370"/>
      <c r="Q8" s="1"/>
      <c r="R8" s="1"/>
      <c r="S8" s="4"/>
      <c r="T8" s="4"/>
      <c r="U8" s="4"/>
      <c r="V8" s="4"/>
      <c r="W8" s="1"/>
      <c r="X8" s="1"/>
      <c r="Y8" s="1"/>
      <c r="Z8" s="1"/>
      <c r="AA8" s="1"/>
      <c r="AB8" s="1"/>
      <c r="AC8" s="1"/>
      <c r="AD8" s="1"/>
      <c r="AE8" s="1"/>
    </row>
    <row r="9" spans="1:31" ht="23.25">
      <c r="A9" s="1"/>
      <c r="B9" s="1"/>
      <c r="C9" s="1"/>
      <c r="D9" s="1"/>
      <c r="E9" s="304" t="s">
        <v>18</v>
      </c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60"/>
      <c r="Q9" s="1"/>
      <c r="R9" s="1"/>
      <c r="S9" s="1"/>
      <c r="T9" s="4"/>
      <c r="U9" s="4"/>
      <c r="V9" s="4"/>
      <c r="W9" s="1"/>
      <c r="X9" s="1"/>
      <c r="Y9" s="1"/>
      <c r="Z9" s="1"/>
      <c r="AA9" s="1"/>
      <c r="AB9" s="1"/>
      <c r="AC9" s="1"/>
      <c r="AD9" s="1"/>
      <c r="AE9" s="1"/>
    </row>
    <row r="10" spans="1:31" ht="19.5">
      <c r="A10" s="3"/>
      <c r="B10" s="3"/>
      <c r="C10" s="3"/>
      <c r="D10" s="3"/>
      <c r="E10" s="17"/>
      <c r="F10" s="198" t="s">
        <v>19</v>
      </c>
      <c r="G10" s="190" t="s">
        <v>20</v>
      </c>
      <c r="H10" s="189" t="s">
        <v>21</v>
      </c>
      <c r="I10" s="190" t="s">
        <v>22</v>
      </c>
      <c r="J10" s="18" t="s">
        <v>23</v>
      </c>
      <c r="K10" s="330" t="s">
        <v>24</v>
      </c>
      <c r="L10" s="359"/>
      <c r="M10" s="331" t="s">
        <v>25</v>
      </c>
      <c r="N10" s="360"/>
      <c r="O10" s="331" t="s">
        <v>26</v>
      </c>
      <c r="P10" s="360"/>
      <c r="Q10" s="3"/>
      <c r="R10" s="3"/>
      <c r="S10" s="3"/>
      <c r="T10" s="4"/>
      <c r="U10" s="4"/>
      <c r="V10" s="4"/>
      <c r="W10" s="1"/>
      <c r="X10" s="1"/>
      <c r="Y10" s="1"/>
      <c r="Z10" s="1"/>
      <c r="AA10" s="1"/>
      <c r="AB10" s="1"/>
      <c r="AC10" s="3"/>
      <c r="AD10" s="3"/>
      <c r="AE10" s="3"/>
    </row>
    <row r="11" spans="1:31" ht="19.5">
      <c r="A11" s="3"/>
      <c r="B11" s="3"/>
      <c r="C11" s="3"/>
      <c r="D11" s="3"/>
      <c r="E11" s="199" t="s">
        <v>27</v>
      </c>
      <c r="F11" s="19" t="e">
        <f>HLOOKUP(P3,#REF!,20,0)</f>
        <v>#REF!</v>
      </c>
      <c r="G11" s="191" t="e">
        <f>HLOOKUP(P3,#REF!,19,0)</f>
        <v>#REF!</v>
      </c>
      <c r="H11" s="200" t="e">
        <f>HLOOKUP(P3,#REF!,12,0)</f>
        <v>#REF!</v>
      </c>
      <c r="I11" s="191">
        <f>1306800+3648426.9</f>
        <v>4955226.9000000004</v>
      </c>
      <c r="J11" s="20" t="e">
        <f>J12</f>
        <v>#REF!</v>
      </c>
      <c r="K11" s="332" t="e">
        <f>HLOOKUP(P3,#REF!,16,0)</f>
        <v>#REF!</v>
      </c>
      <c r="L11" s="371"/>
      <c r="M11" s="333" t="e">
        <f>HLOOKUP(P3,#REF!,17,0)</f>
        <v>#REF!</v>
      </c>
      <c r="N11" s="372"/>
      <c r="O11" s="334" t="e">
        <f t="shared" ref="O11:O15" si="0">SUM(H11:N11)</f>
        <v>#REF!</v>
      </c>
      <c r="P11" s="372"/>
      <c r="Q11" s="3"/>
      <c r="R11" s="3"/>
      <c r="S11" s="3"/>
      <c r="T11" s="4"/>
      <c r="U11" s="4"/>
      <c r="V11" s="4"/>
      <c r="W11" s="1"/>
      <c r="X11" s="1"/>
      <c r="Y11" s="1"/>
      <c r="Z11" s="1"/>
      <c r="AA11" s="1"/>
      <c r="AB11" s="1"/>
      <c r="AC11" s="3"/>
      <c r="AD11" s="3"/>
      <c r="AE11" s="3"/>
    </row>
    <row r="12" spans="1:31" ht="19.5">
      <c r="A12" s="1"/>
      <c r="B12" s="1"/>
      <c r="C12" s="1"/>
      <c r="D12" s="1"/>
      <c r="E12" s="201" t="s">
        <v>28</v>
      </c>
      <c r="F12" s="21" t="e">
        <f>F20</f>
        <v>#REF!</v>
      </c>
      <c r="G12" s="22" t="e">
        <f>F21</f>
        <v>#REF!</v>
      </c>
      <c r="H12" s="202" t="e">
        <f>F41</f>
        <v>#REF!</v>
      </c>
      <c r="I12" s="22" t="e">
        <f>F52</f>
        <v>#REF!</v>
      </c>
      <c r="J12" s="203" t="e">
        <f>J41+J52</f>
        <v>#REF!</v>
      </c>
      <c r="K12" s="340" t="e">
        <f>F63</f>
        <v>#REF!</v>
      </c>
      <c r="L12" s="373"/>
      <c r="M12" s="335" t="e">
        <f>F74</f>
        <v>#REF!</v>
      </c>
      <c r="N12" s="374"/>
      <c r="O12" s="336" t="e">
        <f t="shared" si="0"/>
        <v>#REF!</v>
      </c>
      <c r="P12" s="374"/>
      <c r="Q12" s="1"/>
      <c r="R12" s="1"/>
      <c r="S12" s="1"/>
      <c r="T12" s="4"/>
      <c r="U12" s="4"/>
      <c r="V12" s="4"/>
      <c r="W12" s="1"/>
      <c r="X12" s="1"/>
      <c r="Y12" s="1"/>
      <c r="Z12" s="1"/>
      <c r="AA12" s="1"/>
      <c r="AB12" s="1"/>
      <c r="AC12" s="1"/>
      <c r="AD12" s="1"/>
      <c r="AE12" s="1"/>
    </row>
    <row r="13" spans="1:31" ht="21" customHeight="1">
      <c r="A13" s="1"/>
      <c r="B13" s="1"/>
      <c r="C13" s="1"/>
      <c r="D13" s="1"/>
      <c r="E13" s="201" t="s">
        <v>29</v>
      </c>
      <c r="F13" s="21" t="e">
        <f>IF(F12&lt;&gt;L20,0,L20)</f>
        <v>#REF!</v>
      </c>
      <c r="G13" s="22" t="e">
        <f>IF(G12&lt;&gt;L21,0,L21)</f>
        <v>#REF!</v>
      </c>
      <c r="H13" s="202">
        <f>L41</f>
        <v>14666829.779999999</v>
      </c>
      <c r="I13" s="22">
        <f>L52</f>
        <v>3775253.96</v>
      </c>
      <c r="J13" s="203">
        <f>M41+O41+M52+O52</f>
        <v>12432555.470000001</v>
      </c>
      <c r="K13" s="340">
        <f>L63</f>
        <v>0</v>
      </c>
      <c r="L13" s="373"/>
      <c r="M13" s="335">
        <f>L74</f>
        <v>0</v>
      </c>
      <c r="N13" s="374"/>
      <c r="O13" s="336">
        <f t="shared" si="0"/>
        <v>30874639.210000001</v>
      </c>
      <c r="P13" s="374"/>
      <c r="Q13" s="1"/>
      <c r="R13" s="1"/>
      <c r="S13" s="1"/>
      <c r="T13" s="4"/>
      <c r="U13" s="4"/>
      <c r="V13" s="4"/>
      <c r="W13" s="1"/>
      <c r="X13" s="1"/>
      <c r="Y13" s="1"/>
      <c r="Z13" s="1"/>
      <c r="AA13" s="1"/>
      <c r="AB13" s="1"/>
      <c r="AC13" s="1"/>
      <c r="AD13" s="1"/>
      <c r="AE13" s="1"/>
    </row>
    <row r="14" spans="1:31" ht="19.5">
      <c r="A14" s="1"/>
      <c r="B14" s="1"/>
      <c r="C14" s="1"/>
      <c r="D14" s="1"/>
      <c r="E14" s="204" t="s">
        <v>30</v>
      </c>
      <c r="F14" s="21" t="e">
        <f t="shared" ref="F14:H14" si="1">F12-F13</f>
        <v>#REF!</v>
      </c>
      <c r="G14" s="205" t="e">
        <f t="shared" si="1"/>
        <v>#REF!</v>
      </c>
      <c r="H14" s="206" t="e">
        <f t="shared" si="1"/>
        <v>#REF!</v>
      </c>
      <c r="I14" s="22">
        <v>3648426.9000000013</v>
      </c>
      <c r="J14" s="22" t="e">
        <f>IF(J12-J13&lt;0,0,J12-J13)</f>
        <v>#REF!</v>
      </c>
      <c r="K14" s="340" t="e">
        <f>K12-K13</f>
        <v>#REF!</v>
      </c>
      <c r="L14" s="373"/>
      <c r="M14" s="335" t="e">
        <f>M12-M13</f>
        <v>#REF!</v>
      </c>
      <c r="N14" s="374"/>
      <c r="O14" s="341" t="e">
        <f t="shared" si="0"/>
        <v>#REF!</v>
      </c>
      <c r="P14" s="374"/>
      <c r="Q14" s="1" t="s">
        <v>31</v>
      </c>
      <c r="R14" s="1" t="s">
        <v>32</v>
      </c>
      <c r="S14" s="1"/>
      <c r="T14" s="4"/>
      <c r="U14" s="4"/>
      <c r="V14" s="4"/>
      <c r="W14" s="1"/>
      <c r="X14" s="1"/>
      <c r="Y14" s="1"/>
      <c r="Z14" s="1"/>
      <c r="AA14" s="1"/>
      <c r="AB14" s="1"/>
      <c r="AC14" s="1"/>
      <c r="AD14" s="1"/>
      <c r="AE14" s="1"/>
    </row>
    <row r="15" spans="1:31" ht="19.5">
      <c r="A15" s="1"/>
      <c r="B15" s="1"/>
      <c r="C15" s="1"/>
      <c r="D15" s="1"/>
      <c r="E15" s="204" t="s">
        <v>33</v>
      </c>
      <c r="F15" s="23" t="e">
        <f t="shared" ref="F15:G15" si="2">F11-F12</f>
        <v>#REF!</v>
      </c>
      <c r="G15" s="206" t="e">
        <f t="shared" si="2"/>
        <v>#REF!</v>
      </c>
      <c r="H15" s="254">
        <v>0</v>
      </c>
      <c r="I15" s="206">
        <v>0</v>
      </c>
      <c r="J15" s="25">
        <v>0</v>
      </c>
      <c r="K15" s="351" t="e">
        <f>K11-K12</f>
        <v>#REF!</v>
      </c>
      <c r="L15" s="384"/>
      <c r="M15" s="352" t="e">
        <f>M11-M12</f>
        <v>#REF!</v>
      </c>
      <c r="N15" s="385"/>
      <c r="O15" s="344" t="e">
        <f t="shared" si="0"/>
        <v>#REF!</v>
      </c>
      <c r="P15" s="367"/>
      <c r="Q15" s="1" t="s">
        <v>31</v>
      </c>
      <c r="R15" s="1" t="s">
        <v>34</v>
      </c>
      <c r="S15" s="1"/>
      <c r="T15" s="4"/>
      <c r="U15" s="4"/>
      <c r="V15" s="4"/>
      <c r="W15" s="1"/>
      <c r="X15" s="1"/>
      <c r="Y15" s="1"/>
      <c r="Z15" s="1"/>
      <c r="AA15" s="1"/>
      <c r="AB15" s="1"/>
      <c r="AC15" s="1"/>
      <c r="AD15" s="1"/>
      <c r="AE15" s="1"/>
    </row>
    <row r="16" spans="1:31" ht="6" customHeight="1">
      <c r="A16" s="1"/>
      <c r="B16" s="1"/>
      <c r="C16" s="1"/>
      <c r="D16" s="1"/>
      <c r="E16" s="208"/>
      <c r="F16" s="209"/>
      <c r="G16" s="209"/>
      <c r="H16" s="209"/>
      <c r="I16" s="209"/>
      <c r="J16" s="210"/>
      <c r="K16" s="209"/>
      <c r="L16" s="209"/>
      <c r="M16" s="255"/>
      <c r="N16" s="209"/>
      <c r="O16" s="209"/>
      <c r="P16" s="27"/>
      <c r="Q16" s="1"/>
      <c r="R16" s="1"/>
      <c r="S16" s="1"/>
      <c r="T16" s="4"/>
      <c r="U16" s="4"/>
      <c r="V16" s="4"/>
      <c r="W16" s="1"/>
      <c r="X16" s="1"/>
      <c r="Y16" s="1"/>
      <c r="Z16" s="1"/>
      <c r="AA16" s="1"/>
      <c r="AB16" s="1"/>
      <c r="AC16" s="1"/>
      <c r="AD16" s="1"/>
      <c r="AE16" s="1"/>
    </row>
    <row r="17" spans="1:31" ht="23.25">
      <c r="A17" s="1"/>
      <c r="B17" s="1"/>
      <c r="C17" s="1"/>
      <c r="D17" s="1"/>
      <c r="E17" s="304" t="s">
        <v>21</v>
      </c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60"/>
      <c r="Q17" s="1"/>
      <c r="R17" s="1"/>
      <c r="S17" s="1"/>
      <c r="T17" s="4"/>
      <c r="U17" s="4"/>
      <c r="V17" s="4"/>
      <c r="W17" s="1"/>
      <c r="X17" s="1"/>
      <c r="Y17" s="1"/>
      <c r="Z17" s="1"/>
      <c r="AA17" s="1"/>
      <c r="AB17" s="1"/>
      <c r="AC17" s="1"/>
      <c r="AD17" s="1"/>
      <c r="AE17" s="1"/>
    </row>
    <row r="18" spans="1:31" ht="19.5">
      <c r="A18" s="1"/>
      <c r="B18" s="1"/>
      <c r="C18" s="1"/>
      <c r="D18" s="1"/>
      <c r="E18" s="305" t="s">
        <v>35</v>
      </c>
      <c r="F18" s="357"/>
      <c r="G18" s="375"/>
      <c r="H18" s="306" t="s">
        <v>60</v>
      </c>
      <c r="I18" s="357"/>
      <c r="J18" s="358"/>
      <c r="K18" s="305" t="s">
        <v>37</v>
      </c>
      <c r="L18" s="357"/>
      <c r="M18" s="357"/>
      <c r="N18" s="357"/>
      <c r="O18" s="357"/>
      <c r="P18" s="358"/>
      <c r="Q18" s="1"/>
      <c r="R18" s="1"/>
      <c r="S18" s="1"/>
      <c r="T18" s="4"/>
      <c r="U18" s="4"/>
      <c r="V18" s="4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.75">
      <c r="A19" s="1"/>
      <c r="B19" s="1"/>
      <c r="C19" s="1"/>
      <c r="D19" s="1"/>
      <c r="E19" s="28" t="s">
        <v>38</v>
      </c>
      <c r="F19" s="211" t="s">
        <v>39</v>
      </c>
      <c r="G19" s="29" t="s">
        <v>40</v>
      </c>
      <c r="H19" s="212" t="s">
        <v>41</v>
      </c>
      <c r="I19" s="213" t="s">
        <v>42</v>
      </c>
      <c r="J19" s="30" t="s">
        <v>27</v>
      </c>
      <c r="K19" s="337" t="s">
        <v>43</v>
      </c>
      <c r="L19" s="376"/>
      <c r="M19" s="338" t="s">
        <v>41</v>
      </c>
      <c r="N19" s="377"/>
      <c r="O19" s="339" t="s">
        <v>42</v>
      </c>
      <c r="P19" s="378"/>
      <c r="Q19" s="1"/>
      <c r="R19" s="319" t="s">
        <v>44</v>
      </c>
      <c r="S19" s="356"/>
      <c r="T19" s="356"/>
      <c r="U19" s="356"/>
      <c r="V19" s="4"/>
      <c r="W19" s="1"/>
      <c r="X19" s="1"/>
      <c r="Y19" s="1"/>
      <c r="Z19" s="1"/>
      <c r="AA19" s="1"/>
      <c r="AB19" s="1"/>
      <c r="AC19" s="1"/>
      <c r="AD19" s="1"/>
      <c r="AE19" s="1"/>
    </row>
    <row r="20" spans="1:31" ht="17.25">
      <c r="A20" s="31"/>
      <c r="B20" s="31"/>
      <c r="C20" s="31"/>
      <c r="D20" s="31"/>
      <c r="E20" s="256" t="s">
        <v>19</v>
      </c>
      <c r="F20" s="257" t="e">
        <f>F11</f>
        <v>#REF!</v>
      </c>
      <c r="G20" s="97" t="s">
        <v>45</v>
      </c>
      <c r="H20" s="258">
        <v>0</v>
      </c>
      <c r="I20" s="259">
        <v>0</v>
      </c>
      <c r="J20" s="98">
        <f t="shared" ref="J20:J39" si="3">SUM(H20:I20)</f>
        <v>0</v>
      </c>
      <c r="K20" s="218" t="s">
        <v>54</v>
      </c>
      <c r="L20" s="219" t="s">
        <v>54</v>
      </c>
      <c r="M20" s="260" t="s">
        <v>45</v>
      </c>
      <c r="N20" s="221" t="s">
        <v>46</v>
      </c>
      <c r="O20" s="261" t="s">
        <v>54</v>
      </c>
      <c r="P20" s="34" t="s">
        <v>54</v>
      </c>
      <c r="Q20" s="1"/>
      <c r="R20" s="1" t="s">
        <v>47</v>
      </c>
      <c r="S20" s="1"/>
      <c r="T20" s="4" t="s">
        <v>48</v>
      </c>
      <c r="U20" s="4" t="s">
        <v>49</v>
      </c>
      <c r="V20" s="4"/>
      <c r="W20" s="1"/>
      <c r="X20" s="1"/>
      <c r="Y20" s="1"/>
      <c r="Z20" s="1"/>
      <c r="AA20" s="1"/>
      <c r="AB20" s="1"/>
      <c r="AC20" s="1"/>
      <c r="AD20" s="1"/>
      <c r="AE20" s="1"/>
    </row>
    <row r="21" spans="1:31" ht="15.75" customHeight="1">
      <c r="A21" s="99" t="s">
        <v>78</v>
      </c>
      <c r="B21" s="31" t="s">
        <v>38</v>
      </c>
      <c r="C21" s="31" t="s">
        <v>50</v>
      </c>
      <c r="D21" s="31"/>
      <c r="E21" s="262" t="s">
        <v>20</v>
      </c>
      <c r="F21" s="263" t="e">
        <f>G11</f>
        <v>#REF!</v>
      </c>
      <c r="G21" s="100">
        <v>43678</v>
      </c>
      <c r="H21" s="264" t="e">
        <f>HLOOKUP($P$3,#REF!,148,0)</f>
        <v>#REF!</v>
      </c>
      <c r="I21" s="265" t="e">
        <f>HLOOKUP($P$3,#REF!,149,0)</f>
        <v>#REF!</v>
      </c>
      <c r="J21" s="101" t="e">
        <f t="shared" si="3"/>
        <v>#REF!</v>
      </c>
      <c r="K21" s="37">
        <v>43628</v>
      </c>
      <c r="L21" s="227">
        <v>3630000</v>
      </c>
      <c r="M21" s="266" t="s">
        <v>77</v>
      </c>
      <c r="N21" s="229" t="s">
        <v>77</v>
      </c>
      <c r="O21" s="230" t="s">
        <v>45</v>
      </c>
      <c r="P21" s="38" t="s">
        <v>46</v>
      </c>
      <c r="Q21" s="1"/>
      <c r="R21" s="1" t="s">
        <v>51</v>
      </c>
      <c r="S21" s="1"/>
      <c r="T21" s="4" t="s">
        <v>52</v>
      </c>
      <c r="U21" s="4" t="s">
        <v>52</v>
      </c>
      <c r="V21" s="4"/>
      <c r="W21" s="1"/>
      <c r="X21" s="1"/>
      <c r="Y21" s="1"/>
      <c r="Z21" s="1"/>
      <c r="AA21" s="1"/>
      <c r="AB21" s="1"/>
      <c r="AC21" s="1"/>
      <c r="AD21" s="1"/>
      <c r="AE21" s="1"/>
    </row>
    <row r="22" spans="1:31" ht="15.75" customHeight="1">
      <c r="A22" s="31" t="e">
        <f t="shared" ref="A22:A39" si="4">C22-F22</f>
        <v>#REF!</v>
      </c>
      <c r="B22" s="31">
        <v>1</v>
      </c>
      <c r="C22" s="39" t="e">
        <f t="shared" ref="C22:C30" si="5">HLOOKUP($P$3,#REF!,21+B22,0)</f>
        <v>#REF!</v>
      </c>
      <c r="D22" s="40" t="e">
        <f t="shared" ref="D22:D39" si="6">IF(C22&lt;&gt;"",,B22)</f>
        <v>#REF!</v>
      </c>
      <c r="E22" s="41">
        <v>1</v>
      </c>
      <c r="F22" s="243" t="e">
        <f t="shared" ref="F22:F32" si="7">HLOOKUP($P$3,#REF!,42+E22,0)</f>
        <v>#REF!</v>
      </c>
      <c r="G22" s="42" t="s">
        <v>79</v>
      </c>
      <c r="H22" s="232">
        <v>160084.53</v>
      </c>
      <c r="I22" s="233">
        <v>139629.56</v>
      </c>
      <c r="J22" s="234">
        <f t="shared" si="3"/>
        <v>299714.08999999997</v>
      </c>
      <c r="K22" s="218">
        <v>43572</v>
      </c>
      <c r="L22" s="252">
        <v>1717889.65</v>
      </c>
      <c r="M22" s="236">
        <v>43795</v>
      </c>
      <c r="N22" s="237">
        <v>160084.53</v>
      </c>
      <c r="O22" s="238">
        <v>43993</v>
      </c>
      <c r="P22" s="43">
        <v>139629.56</v>
      </c>
      <c r="Q22" s="1"/>
      <c r="R22" s="44" t="e">
        <f t="shared" ref="R22:R39" si="8">IF(F22=0,,J22/F22)</f>
        <v>#REF!</v>
      </c>
      <c r="S22" s="1"/>
      <c r="T22" s="4">
        <f t="shared" ref="T22:T39" si="9">IF(P22="sin certificar",(F22*$R$40)-J22,0)</f>
        <v>0</v>
      </c>
      <c r="U22" s="4" t="e">
        <f t="shared" ref="U22:U25" si="10">IF(I47=0,(F47*$R$40)-J47,0)</f>
        <v>#REF!</v>
      </c>
      <c r="V22" s="4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.75" customHeight="1">
      <c r="A23" s="31" t="e">
        <f t="shared" si="4"/>
        <v>#REF!</v>
      </c>
      <c r="B23" s="31">
        <v>2</v>
      </c>
      <c r="C23" s="39" t="e">
        <f t="shared" si="5"/>
        <v>#REF!</v>
      </c>
      <c r="D23" s="40" t="e">
        <f t="shared" si="6"/>
        <v>#REF!</v>
      </c>
      <c r="E23" s="41">
        <v>2</v>
      </c>
      <c r="F23" s="243" t="e">
        <f t="shared" si="7"/>
        <v>#REF!</v>
      </c>
      <c r="G23" s="42" t="s">
        <v>80</v>
      </c>
      <c r="H23" s="232">
        <v>204205.19</v>
      </c>
      <c r="I23" s="233">
        <v>147207.32999999999</v>
      </c>
      <c r="J23" s="234">
        <f t="shared" si="3"/>
        <v>351412.52</v>
      </c>
      <c r="K23" s="218">
        <v>43651</v>
      </c>
      <c r="L23" s="235">
        <v>1202252.69</v>
      </c>
      <c r="M23" s="236">
        <v>43795</v>
      </c>
      <c r="N23" s="237">
        <v>204205.19</v>
      </c>
      <c r="O23" s="238">
        <v>43993</v>
      </c>
      <c r="P23" s="43">
        <v>147207.32999999999</v>
      </c>
      <c r="Q23" s="1"/>
      <c r="R23" s="44" t="e">
        <f t="shared" si="8"/>
        <v>#REF!</v>
      </c>
      <c r="S23" s="1"/>
      <c r="T23" s="4">
        <f t="shared" si="9"/>
        <v>0</v>
      </c>
      <c r="U23" s="4" t="e">
        <f t="shared" si="10"/>
        <v>#REF!</v>
      </c>
      <c r="V23" s="4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75" customHeight="1">
      <c r="A24" s="31" t="e">
        <f t="shared" si="4"/>
        <v>#REF!</v>
      </c>
      <c r="B24" s="31">
        <v>3</v>
      </c>
      <c r="C24" s="39" t="e">
        <f t="shared" si="5"/>
        <v>#REF!</v>
      </c>
      <c r="D24" s="40" t="e">
        <f t="shared" si="6"/>
        <v>#REF!</v>
      </c>
      <c r="E24" s="41">
        <v>3</v>
      </c>
      <c r="F24" s="243" t="e">
        <f t="shared" si="7"/>
        <v>#REF!</v>
      </c>
      <c r="G24" s="42" t="s">
        <v>81</v>
      </c>
      <c r="H24" s="232">
        <v>201556.55</v>
      </c>
      <c r="I24" s="233">
        <v>163039.51</v>
      </c>
      <c r="J24" s="234">
        <f t="shared" si="3"/>
        <v>364596.06</v>
      </c>
      <c r="K24" s="218">
        <v>43706</v>
      </c>
      <c r="L24" s="235">
        <v>615412.57999999996</v>
      </c>
      <c r="M24" s="236">
        <v>43846</v>
      </c>
      <c r="N24" s="237">
        <v>201556.55000000002</v>
      </c>
      <c r="O24" s="238">
        <v>43993</v>
      </c>
      <c r="P24" s="43">
        <v>163039.51</v>
      </c>
      <c r="Q24" s="1"/>
      <c r="R24" s="44" t="e">
        <f t="shared" si="8"/>
        <v>#REF!</v>
      </c>
      <c r="S24" s="1"/>
      <c r="T24" s="4">
        <f t="shared" si="9"/>
        <v>0</v>
      </c>
      <c r="U24" s="4" t="e">
        <f t="shared" si="10"/>
        <v>#REF!</v>
      </c>
      <c r="V24" s="4"/>
      <c r="W24" s="1"/>
      <c r="X24" s="1" t="s">
        <v>53</v>
      </c>
      <c r="Y24" s="1"/>
      <c r="Z24" s="1"/>
      <c r="AA24" s="1"/>
      <c r="AB24" s="1"/>
      <c r="AC24" s="1"/>
      <c r="AD24" s="1"/>
      <c r="AE24" s="1"/>
    </row>
    <row r="25" spans="1:31" ht="15.75" customHeight="1">
      <c r="A25" s="31" t="e">
        <f t="shared" si="4"/>
        <v>#REF!</v>
      </c>
      <c r="B25" s="31">
        <v>4</v>
      </c>
      <c r="C25" s="39" t="e">
        <f t="shared" si="5"/>
        <v>#REF!</v>
      </c>
      <c r="D25" s="40" t="e">
        <f t="shared" si="6"/>
        <v>#REF!</v>
      </c>
      <c r="E25" s="41">
        <v>4</v>
      </c>
      <c r="F25" s="243" t="e">
        <f t="shared" si="7"/>
        <v>#REF!</v>
      </c>
      <c r="G25" s="42" t="s">
        <v>82</v>
      </c>
      <c r="H25" s="232">
        <v>242096.48</v>
      </c>
      <c r="I25" s="233">
        <v>179181.31</v>
      </c>
      <c r="J25" s="234">
        <f t="shared" si="3"/>
        <v>421277.79000000004</v>
      </c>
      <c r="K25" s="218">
        <v>43706</v>
      </c>
      <c r="L25" s="235">
        <v>636548.66</v>
      </c>
      <c r="M25" s="236">
        <v>43908</v>
      </c>
      <c r="N25" s="237">
        <v>242096.48</v>
      </c>
      <c r="O25" s="238">
        <v>43993</v>
      </c>
      <c r="P25" s="43">
        <v>179181.31</v>
      </c>
      <c r="Q25" s="1"/>
      <c r="R25" s="44" t="e">
        <f t="shared" si="8"/>
        <v>#REF!</v>
      </c>
      <c r="S25" s="1"/>
      <c r="T25" s="4">
        <f t="shared" si="9"/>
        <v>0</v>
      </c>
      <c r="U25" s="4" t="e">
        <f t="shared" si="10"/>
        <v>#REF!</v>
      </c>
      <c r="V25" s="4"/>
      <c r="W25" s="1"/>
      <c r="X25" s="1"/>
      <c r="Y25" s="1"/>
      <c r="Z25" s="1"/>
      <c r="AA25" s="1"/>
      <c r="AB25" s="1"/>
      <c r="AC25" s="1"/>
      <c r="AD25" s="1"/>
      <c r="AE25" s="1"/>
    </row>
    <row r="26" spans="1:31" ht="15.75" customHeight="1">
      <c r="A26" s="31" t="e">
        <f t="shared" si="4"/>
        <v>#REF!</v>
      </c>
      <c r="B26" s="31">
        <v>5</v>
      </c>
      <c r="C26" s="39" t="e">
        <f t="shared" si="5"/>
        <v>#REF!</v>
      </c>
      <c r="D26" s="40" t="e">
        <f t="shared" si="6"/>
        <v>#REF!</v>
      </c>
      <c r="E26" s="41">
        <v>5</v>
      </c>
      <c r="F26" s="243" t="e">
        <f t="shared" si="7"/>
        <v>#REF!</v>
      </c>
      <c r="G26" s="42" t="s">
        <v>83</v>
      </c>
      <c r="H26" s="232">
        <v>468072.76</v>
      </c>
      <c r="I26" s="233">
        <v>343440.05</v>
      </c>
      <c r="J26" s="234">
        <f t="shared" si="3"/>
        <v>811512.81</v>
      </c>
      <c r="K26" s="218">
        <v>43732</v>
      </c>
      <c r="L26" s="235">
        <v>1180322.7</v>
      </c>
      <c r="M26" s="236">
        <v>43920</v>
      </c>
      <c r="N26" s="237">
        <v>468072.76</v>
      </c>
      <c r="O26" s="238">
        <v>43993</v>
      </c>
      <c r="P26" s="43">
        <v>343440.05</v>
      </c>
      <c r="Q26" s="1"/>
      <c r="R26" s="44" t="e">
        <f t="shared" si="8"/>
        <v>#REF!</v>
      </c>
      <c r="S26" s="1"/>
      <c r="T26" s="4">
        <f t="shared" si="9"/>
        <v>0</v>
      </c>
      <c r="U26" s="4"/>
      <c r="V26" s="4"/>
      <c r="W26" s="1"/>
      <c r="X26" s="1"/>
      <c r="Y26" s="1"/>
      <c r="Z26" s="1"/>
      <c r="AA26" s="1"/>
      <c r="AB26" s="102" t="s">
        <v>84</v>
      </c>
      <c r="AC26" s="102"/>
      <c r="AD26" s="102"/>
      <c r="AE26" s="1"/>
    </row>
    <row r="27" spans="1:31" ht="15.75" customHeight="1">
      <c r="A27" s="31" t="e">
        <f t="shared" si="4"/>
        <v>#REF!</v>
      </c>
      <c r="B27" s="31">
        <v>6</v>
      </c>
      <c r="C27" s="39" t="e">
        <f t="shared" si="5"/>
        <v>#REF!</v>
      </c>
      <c r="D27" s="40" t="e">
        <f t="shared" si="6"/>
        <v>#REF!</v>
      </c>
      <c r="E27" s="41">
        <v>6</v>
      </c>
      <c r="F27" s="243" t="e">
        <f t="shared" si="7"/>
        <v>#REF!</v>
      </c>
      <c r="G27" s="42" t="s">
        <v>85</v>
      </c>
      <c r="H27" s="232" t="e">
        <f t="shared" ref="H27:H32" si="11">HLOOKUP($P$3,#REF!,63+E27,0)</f>
        <v>#REF!</v>
      </c>
      <c r="I27" s="233">
        <v>75379</v>
      </c>
      <c r="J27" s="234" t="e">
        <f t="shared" si="3"/>
        <v>#REF!</v>
      </c>
      <c r="K27" s="218">
        <v>43754</v>
      </c>
      <c r="L27" s="235">
        <v>1202875.67</v>
      </c>
      <c r="M27" s="240">
        <v>43920</v>
      </c>
      <c r="N27" s="237">
        <v>877895.96</v>
      </c>
      <c r="O27" s="241">
        <v>44187</v>
      </c>
      <c r="P27" s="43">
        <v>75379</v>
      </c>
      <c r="Q27" s="1"/>
      <c r="R27" s="44" t="e">
        <f t="shared" si="8"/>
        <v>#REF!</v>
      </c>
      <c r="S27" s="1"/>
      <c r="T27" s="4">
        <f t="shared" si="9"/>
        <v>0</v>
      </c>
      <c r="U27" s="4"/>
      <c r="V27" s="4"/>
      <c r="W27" s="1"/>
      <c r="X27" s="1"/>
      <c r="Y27" s="1"/>
      <c r="Z27" s="1"/>
      <c r="AA27" s="1"/>
      <c r="AB27" s="103" t="s">
        <v>86</v>
      </c>
      <c r="AC27" s="103"/>
      <c r="AD27" s="103"/>
      <c r="AE27" s="1"/>
    </row>
    <row r="28" spans="1:31" ht="15.75" customHeight="1">
      <c r="A28" s="31" t="e">
        <f t="shared" si="4"/>
        <v>#REF!</v>
      </c>
      <c r="B28" s="31">
        <v>7</v>
      </c>
      <c r="C28" s="39" t="e">
        <f t="shared" si="5"/>
        <v>#REF!</v>
      </c>
      <c r="D28" s="40" t="e">
        <f t="shared" si="6"/>
        <v>#REF!</v>
      </c>
      <c r="E28" s="41">
        <v>7</v>
      </c>
      <c r="F28" s="243" t="e">
        <f t="shared" si="7"/>
        <v>#REF!</v>
      </c>
      <c r="G28" s="42" t="s">
        <v>87</v>
      </c>
      <c r="H28" s="232" t="e">
        <f t="shared" si="11"/>
        <v>#REF!</v>
      </c>
      <c r="I28" s="233">
        <v>69999.27</v>
      </c>
      <c r="J28" s="234" t="e">
        <f t="shared" si="3"/>
        <v>#REF!</v>
      </c>
      <c r="K28" s="218">
        <v>43795</v>
      </c>
      <c r="L28" s="235">
        <v>910699.58</v>
      </c>
      <c r="M28" s="240">
        <v>44006</v>
      </c>
      <c r="N28" s="242">
        <v>711056.88</v>
      </c>
      <c r="O28" s="241">
        <v>44187</v>
      </c>
      <c r="P28" s="43">
        <v>69999.27</v>
      </c>
      <c r="Q28" s="1"/>
      <c r="R28" s="44" t="e">
        <f t="shared" si="8"/>
        <v>#REF!</v>
      </c>
      <c r="S28" s="1"/>
      <c r="T28" s="4">
        <f t="shared" si="9"/>
        <v>0</v>
      </c>
      <c r="U28" s="4"/>
      <c r="V28" s="4"/>
      <c r="W28" s="1"/>
      <c r="X28" s="1"/>
      <c r="Y28" s="1"/>
      <c r="Z28" s="1"/>
      <c r="AA28" s="1"/>
      <c r="AB28" s="104">
        <v>7</v>
      </c>
      <c r="AC28" s="105" t="s">
        <v>87</v>
      </c>
      <c r="AD28" s="106" t="e">
        <f>H28-N28</f>
        <v>#REF!</v>
      </c>
      <c r="AE28" s="1"/>
    </row>
    <row r="29" spans="1:31" ht="15.75" customHeight="1">
      <c r="A29" s="31" t="e">
        <f t="shared" si="4"/>
        <v>#REF!</v>
      </c>
      <c r="B29" s="31">
        <v>8</v>
      </c>
      <c r="C29" s="39" t="e">
        <f t="shared" si="5"/>
        <v>#REF!</v>
      </c>
      <c r="D29" s="40" t="e">
        <f t="shared" si="6"/>
        <v>#REF!</v>
      </c>
      <c r="E29" s="41">
        <v>8</v>
      </c>
      <c r="F29" s="243" t="e">
        <f t="shared" si="7"/>
        <v>#REF!</v>
      </c>
      <c r="G29" s="42" t="s">
        <v>88</v>
      </c>
      <c r="H29" s="232" t="e">
        <f t="shared" si="11"/>
        <v>#REF!</v>
      </c>
      <c r="I29" s="233">
        <v>221128.98</v>
      </c>
      <c r="J29" s="234" t="e">
        <f t="shared" si="3"/>
        <v>#REF!</v>
      </c>
      <c r="K29" s="218">
        <v>43846</v>
      </c>
      <c r="L29" s="235">
        <v>1402339.08</v>
      </c>
      <c r="M29" s="240">
        <v>43987</v>
      </c>
      <c r="N29" s="237">
        <v>1085131.6599999999</v>
      </c>
      <c r="O29" s="241">
        <v>44210</v>
      </c>
      <c r="P29" s="43">
        <v>221128.98</v>
      </c>
      <c r="Q29" s="1"/>
      <c r="R29" s="44" t="e">
        <f t="shared" si="8"/>
        <v>#REF!</v>
      </c>
      <c r="S29" s="1"/>
      <c r="T29" s="4">
        <f t="shared" si="9"/>
        <v>0</v>
      </c>
      <c r="U29" s="4"/>
      <c r="V29" s="4"/>
      <c r="W29" s="1"/>
      <c r="X29" s="1"/>
      <c r="Y29" s="1"/>
      <c r="Z29" s="1"/>
      <c r="AA29" s="1"/>
      <c r="AB29" s="104">
        <v>8</v>
      </c>
      <c r="AC29" s="105" t="s">
        <v>88</v>
      </c>
      <c r="AD29" s="106" t="e">
        <f t="shared" ref="AD29:AD32" si="12">J29</f>
        <v>#REF!</v>
      </c>
      <c r="AE29" s="1"/>
    </row>
    <row r="30" spans="1:31" ht="15.75" customHeight="1">
      <c r="A30" s="31" t="e">
        <f t="shared" si="4"/>
        <v>#REF!</v>
      </c>
      <c r="B30" s="31">
        <v>9</v>
      </c>
      <c r="C30" s="39" t="e">
        <f t="shared" si="5"/>
        <v>#REF!</v>
      </c>
      <c r="D30" s="40" t="e">
        <f t="shared" si="6"/>
        <v>#REF!</v>
      </c>
      <c r="E30" s="41">
        <v>9</v>
      </c>
      <c r="F30" s="243" t="e">
        <f t="shared" si="7"/>
        <v>#REF!</v>
      </c>
      <c r="G30" s="42" t="s">
        <v>89</v>
      </c>
      <c r="H30" s="232" t="e">
        <f t="shared" si="11"/>
        <v>#REF!</v>
      </c>
      <c r="I30" s="233">
        <v>301730.46999999997</v>
      </c>
      <c r="J30" s="234" t="e">
        <f t="shared" si="3"/>
        <v>#REF!</v>
      </c>
      <c r="K30" s="218">
        <v>43864</v>
      </c>
      <c r="L30" s="235">
        <v>915365.68</v>
      </c>
      <c r="M30" s="240">
        <v>44027</v>
      </c>
      <c r="N30" s="242">
        <v>707390.32</v>
      </c>
      <c r="O30" s="241">
        <v>44210</v>
      </c>
      <c r="P30" s="43">
        <v>301730.46999999997</v>
      </c>
      <c r="Q30" s="1"/>
      <c r="R30" s="44" t="e">
        <f t="shared" si="8"/>
        <v>#REF!</v>
      </c>
      <c r="S30" s="1"/>
      <c r="T30" s="4">
        <f t="shared" si="9"/>
        <v>0</v>
      </c>
      <c r="U30" s="4"/>
      <c r="V30" s="4"/>
      <c r="W30" s="1"/>
      <c r="X30" s="1"/>
      <c r="Y30" s="1"/>
      <c r="Z30" s="1"/>
      <c r="AA30" s="1"/>
      <c r="AB30" s="104">
        <v>9</v>
      </c>
      <c r="AC30" s="105" t="s">
        <v>89</v>
      </c>
      <c r="AD30" s="106" t="e">
        <f t="shared" si="12"/>
        <v>#REF!</v>
      </c>
      <c r="AE30" s="1"/>
    </row>
    <row r="31" spans="1:31" ht="15.75" customHeight="1">
      <c r="A31" s="31" t="e">
        <f t="shared" si="4"/>
        <v>#REF!</v>
      </c>
      <c r="B31" s="31">
        <v>10</v>
      </c>
      <c r="C31" s="107">
        <v>2315779.6800000002</v>
      </c>
      <c r="D31" s="40">
        <f t="shared" si="6"/>
        <v>0</v>
      </c>
      <c r="E31" s="41">
        <v>10</v>
      </c>
      <c r="F31" s="243" t="e">
        <f t="shared" si="7"/>
        <v>#REF!</v>
      </c>
      <c r="G31" s="42" t="s">
        <v>90</v>
      </c>
      <c r="H31" s="232" t="e">
        <f t="shared" si="11"/>
        <v>#REF!</v>
      </c>
      <c r="I31" s="233">
        <v>753606.98</v>
      </c>
      <c r="J31" s="234" t="e">
        <f t="shared" si="3"/>
        <v>#REF!</v>
      </c>
      <c r="K31" s="218">
        <v>43880</v>
      </c>
      <c r="L31" s="235">
        <v>1784142.8900000001</v>
      </c>
      <c r="M31" s="240">
        <v>44039</v>
      </c>
      <c r="N31" s="242">
        <v>1392577.4</v>
      </c>
      <c r="O31" s="241">
        <v>44201</v>
      </c>
      <c r="P31" s="43">
        <v>753606.98</v>
      </c>
      <c r="Q31" s="1"/>
      <c r="R31" s="44" t="e">
        <f t="shared" si="8"/>
        <v>#REF!</v>
      </c>
      <c r="S31" s="1"/>
      <c r="T31" s="4">
        <f t="shared" si="9"/>
        <v>0</v>
      </c>
      <c r="U31" s="4"/>
      <c r="V31" s="4"/>
      <c r="W31" s="1"/>
      <c r="X31" s="1"/>
      <c r="Y31" s="1"/>
      <c r="Z31" s="1"/>
      <c r="AA31" s="1"/>
      <c r="AB31" s="104">
        <v>10</v>
      </c>
      <c r="AC31" s="105" t="s">
        <v>90</v>
      </c>
      <c r="AD31" s="106" t="e">
        <f t="shared" si="12"/>
        <v>#REF!</v>
      </c>
      <c r="AE31" s="1"/>
    </row>
    <row r="32" spans="1:31" ht="15.75" customHeight="1">
      <c r="A32" s="31" t="e">
        <f t="shared" si="4"/>
        <v>#REF!</v>
      </c>
      <c r="B32" s="31">
        <v>11</v>
      </c>
      <c r="C32" s="107">
        <v>895758.84</v>
      </c>
      <c r="D32" s="40">
        <f t="shared" si="6"/>
        <v>0</v>
      </c>
      <c r="E32" s="41">
        <v>11</v>
      </c>
      <c r="F32" s="243" t="e">
        <f t="shared" si="7"/>
        <v>#REF!</v>
      </c>
      <c r="G32" s="42" t="s">
        <v>91</v>
      </c>
      <c r="H32" s="232" t="e">
        <f t="shared" si="11"/>
        <v>#REF!</v>
      </c>
      <c r="I32" s="233">
        <v>276341.69</v>
      </c>
      <c r="J32" s="234" t="e">
        <f t="shared" si="3"/>
        <v>#REF!</v>
      </c>
      <c r="K32" s="218">
        <v>43907</v>
      </c>
      <c r="L32" s="235">
        <v>690118.23</v>
      </c>
      <c r="M32" s="240">
        <v>43927</v>
      </c>
      <c r="N32" s="237">
        <v>529034.48</v>
      </c>
      <c r="O32" s="241">
        <v>44210</v>
      </c>
      <c r="P32" s="43">
        <v>276341.69</v>
      </c>
      <c r="Q32" s="1"/>
      <c r="R32" s="44" t="e">
        <f t="shared" si="8"/>
        <v>#REF!</v>
      </c>
      <c r="S32" s="1"/>
      <c r="T32" s="4">
        <f t="shared" si="9"/>
        <v>0</v>
      </c>
      <c r="U32" s="4"/>
      <c r="V32" s="4"/>
      <c r="W32" s="1"/>
      <c r="X32" s="1"/>
      <c r="Y32" s="1"/>
      <c r="Z32" s="1"/>
      <c r="AA32" s="1"/>
      <c r="AB32" s="104">
        <v>11</v>
      </c>
      <c r="AC32" s="105" t="s">
        <v>91</v>
      </c>
      <c r="AD32" s="106" t="e">
        <f t="shared" si="12"/>
        <v>#REF!</v>
      </c>
      <c r="AE32" s="1"/>
    </row>
    <row r="33" spans="1:31" ht="15.75" customHeight="1">
      <c r="A33" s="39">
        <f t="shared" si="4"/>
        <v>0</v>
      </c>
      <c r="B33" s="31">
        <v>12</v>
      </c>
      <c r="C33" s="107">
        <v>0</v>
      </c>
      <c r="D33" s="40">
        <f t="shared" si="6"/>
        <v>0</v>
      </c>
      <c r="E33" s="41">
        <v>12</v>
      </c>
      <c r="F33" s="243">
        <v>0</v>
      </c>
      <c r="G33" s="42" t="s">
        <v>92</v>
      </c>
      <c r="H33" s="267">
        <v>0</v>
      </c>
      <c r="I33" s="233">
        <v>0</v>
      </c>
      <c r="J33" s="234">
        <f t="shared" si="3"/>
        <v>0</v>
      </c>
      <c r="K33" s="218" t="s">
        <v>54</v>
      </c>
      <c r="L33" s="235" t="s">
        <v>54</v>
      </c>
      <c r="M33" s="240" t="s">
        <v>45</v>
      </c>
      <c r="N33" s="237" t="s">
        <v>46</v>
      </c>
      <c r="O33" s="241" t="s">
        <v>54</v>
      </c>
      <c r="P33" s="43" t="s">
        <v>54</v>
      </c>
      <c r="Q33" s="1"/>
      <c r="R33" s="44">
        <f t="shared" si="8"/>
        <v>0</v>
      </c>
      <c r="S33" s="1"/>
      <c r="T33" s="4">
        <f t="shared" si="9"/>
        <v>0</v>
      </c>
      <c r="U33" s="4"/>
      <c r="V33" s="4"/>
      <c r="W33" s="1"/>
      <c r="X33" s="1"/>
      <c r="Y33" s="1"/>
      <c r="Z33" s="1"/>
      <c r="AA33" s="1"/>
      <c r="AB33" s="1"/>
      <c r="AC33" s="108" t="s">
        <v>93</v>
      </c>
      <c r="AD33" s="109" t="e">
        <f>SUM(AD28:AD32)</f>
        <v>#REF!</v>
      </c>
      <c r="AE33" s="1"/>
    </row>
    <row r="34" spans="1:31" ht="15.75" customHeight="1">
      <c r="A34" s="39">
        <f t="shared" si="4"/>
        <v>30417.08</v>
      </c>
      <c r="B34" s="31">
        <v>13</v>
      </c>
      <c r="C34" s="107">
        <v>132495.09</v>
      </c>
      <c r="D34" s="40">
        <f t="shared" si="6"/>
        <v>0</v>
      </c>
      <c r="E34" s="41">
        <v>13</v>
      </c>
      <c r="F34" s="231">
        <v>102078.01</v>
      </c>
      <c r="G34" s="42" t="s">
        <v>94</v>
      </c>
      <c r="H34" s="232">
        <v>0</v>
      </c>
      <c r="I34" s="233">
        <v>112938.61</v>
      </c>
      <c r="J34" s="234">
        <f t="shared" si="3"/>
        <v>112938.61</v>
      </c>
      <c r="K34" s="251">
        <v>44032</v>
      </c>
      <c r="L34" s="252">
        <v>102078.01</v>
      </c>
      <c r="M34" s="240" t="s">
        <v>45</v>
      </c>
      <c r="N34" s="237" t="s">
        <v>46</v>
      </c>
      <c r="O34" s="241">
        <v>44187</v>
      </c>
      <c r="P34" s="43">
        <v>112938.61</v>
      </c>
      <c r="Q34" s="1"/>
      <c r="R34" s="44">
        <f t="shared" si="8"/>
        <v>1.1063950991991323</v>
      </c>
      <c r="S34" s="1"/>
      <c r="T34" s="4">
        <f t="shared" si="9"/>
        <v>0</v>
      </c>
      <c r="U34" s="4"/>
      <c r="V34" s="4"/>
      <c r="W34" s="1"/>
      <c r="X34" s="1"/>
      <c r="Y34" s="1"/>
      <c r="Z34" s="1"/>
      <c r="AA34" s="1"/>
      <c r="AB34" s="350" t="s">
        <v>95</v>
      </c>
      <c r="AC34" s="373"/>
      <c r="AD34" s="386"/>
      <c r="AE34" s="1"/>
    </row>
    <row r="35" spans="1:31" ht="15.75" customHeight="1">
      <c r="A35" s="39">
        <f t="shared" si="4"/>
        <v>62877.609999999986</v>
      </c>
      <c r="B35" s="31">
        <v>14</v>
      </c>
      <c r="C35" s="107">
        <v>273891.3</v>
      </c>
      <c r="D35" s="40">
        <f t="shared" si="6"/>
        <v>0</v>
      </c>
      <c r="E35" s="41">
        <v>14</v>
      </c>
      <c r="F35" s="243">
        <v>211013.69</v>
      </c>
      <c r="G35" s="42" t="s">
        <v>96</v>
      </c>
      <c r="H35" s="267">
        <v>254271.94</v>
      </c>
      <c r="I35" s="239">
        <v>33206.89</v>
      </c>
      <c r="J35" s="234">
        <f t="shared" si="3"/>
        <v>287478.83</v>
      </c>
      <c r="K35" s="218">
        <v>44085</v>
      </c>
      <c r="L35" s="235">
        <v>211013.69</v>
      </c>
      <c r="M35" s="240">
        <v>44210</v>
      </c>
      <c r="N35" s="237">
        <v>254271.94</v>
      </c>
      <c r="O35" s="241">
        <v>44270</v>
      </c>
      <c r="P35" s="43">
        <v>33206.89</v>
      </c>
      <c r="Q35" s="1"/>
      <c r="R35" s="44">
        <f t="shared" si="8"/>
        <v>1.3623705172872909</v>
      </c>
      <c r="S35" s="1"/>
      <c r="T35" s="4">
        <f t="shared" si="9"/>
        <v>0</v>
      </c>
      <c r="U35" s="4"/>
      <c r="V35" s="4"/>
      <c r="W35" s="1"/>
      <c r="X35" s="1"/>
      <c r="Y35" s="1"/>
      <c r="Z35" s="1"/>
      <c r="AA35" s="1"/>
      <c r="AB35" s="103"/>
      <c r="AC35" s="110">
        <f>G47</f>
        <v>43866</v>
      </c>
      <c r="AD35" s="106" t="e">
        <f>F47</f>
        <v>#REF!</v>
      </c>
      <c r="AE35" s="1"/>
    </row>
    <row r="36" spans="1:31" ht="15.75" customHeight="1">
      <c r="A36" s="39">
        <f t="shared" si="4"/>
        <v>2328.71</v>
      </c>
      <c r="B36" s="31">
        <v>15</v>
      </c>
      <c r="C36" s="107">
        <v>10143.74</v>
      </c>
      <c r="D36" s="40">
        <f t="shared" si="6"/>
        <v>0</v>
      </c>
      <c r="E36" s="41">
        <v>15</v>
      </c>
      <c r="F36" s="243">
        <v>7815.03</v>
      </c>
      <c r="G36" s="42" t="s">
        <v>97</v>
      </c>
      <c r="H36" s="232">
        <v>0</v>
      </c>
      <c r="I36" s="239">
        <v>9168.7099999999991</v>
      </c>
      <c r="J36" s="234">
        <f t="shared" si="3"/>
        <v>9168.7099999999991</v>
      </c>
      <c r="K36" s="251">
        <v>44057</v>
      </c>
      <c r="L36" s="235">
        <v>7815.03</v>
      </c>
      <c r="M36" s="240" t="s">
        <v>54</v>
      </c>
      <c r="N36" s="237" t="s">
        <v>54</v>
      </c>
      <c r="O36" s="241">
        <v>44210</v>
      </c>
      <c r="P36" s="43">
        <v>9168.7099999999991</v>
      </c>
      <c r="Q36" s="1"/>
      <c r="R36" s="44">
        <f t="shared" si="8"/>
        <v>1.1732149460718639</v>
      </c>
      <c r="S36" s="1"/>
      <c r="T36" s="4">
        <f t="shared" si="9"/>
        <v>0</v>
      </c>
      <c r="U36" s="4"/>
      <c r="V36" s="4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>
      <c r="A37" s="39">
        <f t="shared" si="4"/>
        <v>402736.39000000013</v>
      </c>
      <c r="B37" s="31">
        <v>16</v>
      </c>
      <c r="C37" s="107">
        <v>1754296.87</v>
      </c>
      <c r="D37" s="40">
        <f t="shared" si="6"/>
        <v>0</v>
      </c>
      <c r="E37" s="41">
        <v>16</v>
      </c>
      <c r="F37" s="231">
        <v>1351560.48</v>
      </c>
      <c r="G37" s="88" t="s">
        <v>98</v>
      </c>
      <c r="H37" s="232">
        <v>1638285.04</v>
      </c>
      <c r="I37" s="239">
        <v>92851.39</v>
      </c>
      <c r="J37" s="234">
        <f t="shared" si="3"/>
        <v>1731136.43</v>
      </c>
      <c r="K37" s="218">
        <v>44123</v>
      </c>
      <c r="L37" s="235">
        <v>1351560.48</v>
      </c>
      <c r="M37" s="240">
        <v>44148</v>
      </c>
      <c r="N37" s="237">
        <v>1638285.04</v>
      </c>
      <c r="O37" s="241">
        <v>44270</v>
      </c>
      <c r="P37" s="43">
        <v>92851.39</v>
      </c>
      <c r="Q37" s="1"/>
      <c r="R37" s="44">
        <f t="shared" si="8"/>
        <v>1.2808427411254286</v>
      </c>
      <c r="S37" s="1"/>
      <c r="T37" s="4">
        <f t="shared" si="9"/>
        <v>0</v>
      </c>
      <c r="U37" s="4"/>
      <c r="V37" s="4"/>
      <c r="W37" s="1"/>
      <c r="X37" s="1"/>
      <c r="Y37" s="1"/>
      <c r="Z37" s="1"/>
      <c r="AA37" s="1"/>
      <c r="AB37" s="1"/>
      <c r="AC37" s="108" t="s">
        <v>99</v>
      </c>
      <c r="AD37" s="109" t="e">
        <f>AD33+AD35</f>
        <v>#REF!</v>
      </c>
      <c r="AE37" s="1"/>
    </row>
    <row r="38" spans="1:31" ht="15.75" customHeight="1">
      <c r="A38" s="39">
        <f t="shared" si="4"/>
        <v>150042.88</v>
      </c>
      <c r="B38" s="111">
        <v>17</v>
      </c>
      <c r="C38" s="107">
        <v>653578.27</v>
      </c>
      <c r="D38" s="40">
        <f t="shared" si="6"/>
        <v>0</v>
      </c>
      <c r="E38" s="112">
        <v>17</v>
      </c>
      <c r="F38" s="231">
        <v>503535.39</v>
      </c>
      <c r="G38" s="113" t="s">
        <v>100</v>
      </c>
      <c r="H38" s="267">
        <v>604571.25</v>
      </c>
      <c r="I38" s="239">
        <v>94760.25</v>
      </c>
      <c r="J38" s="234">
        <f t="shared" si="3"/>
        <v>699331.5</v>
      </c>
      <c r="K38" s="218">
        <v>44188</v>
      </c>
      <c r="L38" s="235">
        <v>503535.39</v>
      </c>
      <c r="M38" s="240">
        <v>44183</v>
      </c>
      <c r="N38" s="237">
        <v>604571.25</v>
      </c>
      <c r="O38" s="241">
        <v>44270</v>
      </c>
      <c r="P38" s="43">
        <v>94760.25</v>
      </c>
      <c r="Q38" s="1"/>
      <c r="R38" s="44">
        <f t="shared" si="8"/>
        <v>1.3888427981199096</v>
      </c>
      <c r="S38" s="1"/>
      <c r="T38" s="4">
        <f t="shared" si="9"/>
        <v>0</v>
      </c>
      <c r="U38" s="4"/>
      <c r="V38" s="4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>
      <c r="A39" s="39">
        <f t="shared" si="4"/>
        <v>69387.28</v>
      </c>
      <c r="B39" s="111">
        <v>18</v>
      </c>
      <c r="C39" s="39">
        <v>302247.05</v>
      </c>
      <c r="D39" s="40">
        <f t="shared" si="6"/>
        <v>0</v>
      </c>
      <c r="E39" s="112">
        <v>18</v>
      </c>
      <c r="F39" s="243">
        <v>232859.77</v>
      </c>
      <c r="G39" s="42"/>
      <c r="H39" s="232">
        <v>278717.34000000003</v>
      </c>
      <c r="I39" s="239">
        <v>63997.69</v>
      </c>
      <c r="J39" s="234">
        <f t="shared" si="3"/>
        <v>342715.03</v>
      </c>
      <c r="K39" s="218">
        <v>44168</v>
      </c>
      <c r="L39" s="235">
        <v>232859.77</v>
      </c>
      <c r="M39" s="240">
        <v>44168</v>
      </c>
      <c r="N39" s="237">
        <v>278717.34000000003</v>
      </c>
      <c r="O39" s="241">
        <v>44270</v>
      </c>
      <c r="P39" s="43">
        <v>63997.69</v>
      </c>
      <c r="Q39" s="1"/>
      <c r="R39" s="44">
        <f t="shared" si="8"/>
        <v>1.4717657326553231</v>
      </c>
      <c r="S39" s="1"/>
      <c r="T39" s="4">
        <f t="shared" si="9"/>
        <v>0</v>
      </c>
      <c r="U39" s="4"/>
      <c r="V39" s="4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.25" customHeight="1">
      <c r="A40" s="1"/>
      <c r="B40" s="1"/>
      <c r="C40" s="1"/>
      <c r="D40" s="40" t="e">
        <f>MIN(D22:D39)</f>
        <v>#REF!</v>
      </c>
      <c r="E40" s="41"/>
      <c r="F40" s="243"/>
      <c r="G40" s="42"/>
      <c r="H40" s="232"/>
      <c r="I40" s="239"/>
      <c r="J40" s="234"/>
      <c r="K40" s="218"/>
      <c r="L40" s="235"/>
      <c r="M40" s="244"/>
      <c r="N40" s="237"/>
      <c r="O40" s="241"/>
      <c r="P40" s="43"/>
      <c r="Q40" s="1"/>
      <c r="R40" s="44" t="e">
        <f>MAX(R22:R39)</f>
        <v>#REF!</v>
      </c>
      <c r="S40" s="1"/>
      <c r="T40" s="4"/>
      <c r="U40" s="4"/>
      <c r="V40" s="4"/>
      <c r="W40" s="1"/>
      <c r="X40" s="1"/>
      <c r="Y40" s="1"/>
      <c r="Z40" s="1"/>
      <c r="AA40" s="1"/>
      <c r="AB40" s="1"/>
      <c r="AC40" s="1"/>
      <c r="AD40" s="1"/>
      <c r="AE40" s="1"/>
    </row>
    <row r="41" spans="1:31" ht="16.5" customHeight="1">
      <c r="A41" s="39" t="e">
        <f>SUM(A22:A40)</f>
        <v>#REF!</v>
      </c>
      <c r="B41" s="1"/>
      <c r="C41" s="39" t="e">
        <f>SUM(C22:C40)</f>
        <v>#REF!</v>
      </c>
      <c r="D41" s="39"/>
      <c r="E41" s="45" t="s">
        <v>55</v>
      </c>
      <c r="F41" s="46" t="e">
        <f>SUM(F22:F39)</f>
        <v>#REF!</v>
      </c>
      <c r="G41" s="47" t="s">
        <v>56</v>
      </c>
      <c r="H41" s="48" t="e">
        <f>SUM(H20:H39)</f>
        <v>#REF!</v>
      </c>
      <c r="I41" s="49">
        <f t="shared" ref="I41:J41" si="13">SUM(I22:I39)</f>
        <v>3077607.69</v>
      </c>
      <c r="J41" s="50" t="e">
        <f t="shared" si="13"/>
        <v>#REF!</v>
      </c>
      <c r="K41" s="51" t="s">
        <v>29</v>
      </c>
      <c r="L41" s="52">
        <f>SUM(L22:L40)</f>
        <v>14666829.779999999</v>
      </c>
      <c r="M41" s="312">
        <f>SUM(N22:N39)</f>
        <v>9354947.7800000012</v>
      </c>
      <c r="N41" s="376"/>
      <c r="O41" s="310">
        <f>SUM(P22:P39)</f>
        <v>3077607.69</v>
      </c>
      <c r="P41" s="379"/>
      <c r="Q41" s="1"/>
      <c r="R41" s="1"/>
      <c r="S41" s="1"/>
      <c r="T41" s="4"/>
      <c r="U41" s="4"/>
      <c r="V41" s="4" t="s">
        <v>27</v>
      </c>
      <c r="W41" s="1"/>
      <c r="X41" s="1"/>
      <c r="Y41" s="1"/>
      <c r="Z41" s="1"/>
      <c r="AA41" s="1"/>
      <c r="AB41" s="1"/>
      <c r="AC41" s="1"/>
      <c r="AD41" s="1"/>
      <c r="AE41" s="1"/>
    </row>
    <row r="42" spans="1:31" ht="16.5" customHeight="1">
      <c r="A42" s="39" t="e">
        <f>F21-A41</f>
        <v>#REF!</v>
      </c>
      <c r="B42" s="1"/>
      <c r="C42" s="39"/>
      <c r="D42" s="39"/>
      <c r="E42" s="53" t="s">
        <v>57</v>
      </c>
      <c r="F42" s="54" t="e">
        <f>H11-F20-F21-F41</f>
        <v>#REF!</v>
      </c>
      <c r="G42" s="313" t="s">
        <v>73</v>
      </c>
      <c r="H42" s="359"/>
      <c r="I42" s="359"/>
      <c r="J42" s="55">
        <f>T42</f>
        <v>0</v>
      </c>
      <c r="K42" s="53" t="s">
        <v>59</v>
      </c>
      <c r="L42" s="54" t="e">
        <f>F41-L41</f>
        <v>#REF!</v>
      </c>
      <c r="M42" s="314" t="e">
        <f>H41-M41</f>
        <v>#REF!</v>
      </c>
      <c r="N42" s="359"/>
      <c r="O42" s="311">
        <f>I41-O41</f>
        <v>0</v>
      </c>
      <c r="P42" s="360"/>
      <c r="Q42" s="1"/>
      <c r="R42" s="1"/>
      <c r="S42" s="1"/>
      <c r="T42" s="4">
        <f t="shared" ref="T42:U42" si="14">SUM(T22:T41)</f>
        <v>0</v>
      </c>
      <c r="U42" s="4" t="e">
        <f t="shared" si="14"/>
        <v>#REF!</v>
      </c>
      <c r="V42" s="4" t="e">
        <f>SUM(T42:U43)</f>
        <v>#REF!</v>
      </c>
      <c r="W42" s="1"/>
      <c r="X42" s="1"/>
      <c r="Y42" s="1"/>
      <c r="Z42" s="1"/>
      <c r="AA42" s="1"/>
      <c r="AB42" s="1"/>
      <c r="AC42" s="1"/>
      <c r="AD42" s="1"/>
      <c r="AE42" s="1"/>
    </row>
    <row r="43" spans="1:31" ht="6" customHeight="1">
      <c r="A43" s="1"/>
      <c r="B43" s="1"/>
      <c r="C43" s="1"/>
      <c r="D43" s="1"/>
      <c r="E43" s="56"/>
      <c r="F43" s="4"/>
      <c r="G43" s="44"/>
      <c r="H43" s="1"/>
      <c r="I43" s="1"/>
      <c r="J43" s="4"/>
      <c r="K43" s="1"/>
      <c r="L43" s="57"/>
      <c r="M43" s="58"/>
      <c r="N43" s="4"/>
      <c r="O43" s="59"/>
      <c r="P43" s="60"/>
      <c r="Q43" s="1"/>
      <c r="R43" s="1"/>
      <c r="S43" s="1"/>
      <c r="T43" s="4"/>
      <c r="U43" s="4"/>
      <c r="V43" s="4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>
      <c r="B44" s="1"/>
      <c r="C44" s="1"/>
      <c r="D44" s="1"/>
      <c r="E44" s="304" t="s">
        <v>22</v>
      </c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60"/>
      <c r="Q44" s="1"/>
      <c r="R44" s="1"/>
      <c r="S44" s="1"/>
      <c r="T44" s="4"/>
      <c r="U44" s="4"/>
      <c r="V44" s="4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>
      <c r="A45" s="1"/>
      <c r="B45" s="1"/>
      <c r="C45" s="1"/>
      <c r="D45" s="1"/>
      <c r="E45" s="305" t="s">
        <v>35</v>
      </c>
      <c r="F45" s="357"/>
      <c r="G45" s="375"/>
      <c r="H45" s="306" t="s">
        <v>60</v>
      </c>
      <c r="I45" s="357"/>
      <c r="J45" s="358"/>
      <c r="K45" s="305" t="s">
        <v>37</v>
      </c>
      <c r="L45" s="357"/>
      <c r="M45" s="357"/>
      <c r="N45" s="357"/>
      <c r="O45" s="357"/>
      <c r="P45" s="358"/>
      <c r="Q45" s="1"/>
      <c r="R45" s="1"/>
      <c r="S45" s="1"/>
      <c r="T45" s="4"/>
      <c r="U45" s="4"/>
      <c r="V45" s="4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>
      <c r="A46" s="1"/>
      <c r="B46" s="1"/>
      <c r="C46" s="1"/>
      <c r="D46" s="1"/>
      <c r="E46" s="61" t="s">
        <v>38</v>
      </c>
      <c r="F46" s="62" t="s">
        <v>39</v>
      </c>
      <c r="G46" s="63" t="s">
        <v>40</v>
      </c>
      <c r="H46" s="64" t="s">
        <v>41</v>
      </c>
      <c r="I46" s="65" t="s">
        <v>42</v>
      </c>
      <c r="J46" s="66" t="s">
        <v>27</v>
      </c>
      <c r="K46" s="307" t="s">
        <v>43</v>
      </c>
      <c r="L46" s="380"/>
      <c r="M46" s="308" t="s">
        <v>41</v>
      </c>
      <c r="N46" s="381"/>
      <c r="O46" s="309" t="s">
        <v>42</v>
      </c>
      <c r="P46" s="365"/>
      <c r="Q46" s="1"/>
      <c r="R46" s="1"/>
      <c r="S46" s="1"/>
      <c r="T46" s="4"/>
      <c r="U46" s="4"/>
      <c r="V46" s="4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>
      <c r="A47" s="1"/>
      <c r="B47" s="1"/>
      <c r="C47" s="1"/>
      <c r="D47" s="1"/>
      <c r="E47" s="67">
        <v>1</v>
      </c>
      <c r="F47" s="243" t="e">
        <f>HLOOKUP($P$3,#REF!,116+E47,0)</f>
        <v>#REF!</v>
      </c>
      <c r="G47" s="68">
        <v>43866</v>
      </c>
      <c r="H47" s="232" t="e">
        <f t="shared" ref="H47:H50" si="15">HLOOKUP($P$3,#REF!,121+E47,0)</f>
        <v>#REF!</v>
      </c>
      <c r="I47" s="239" t="e">
        <f t="shared" ref="I47:I50" si="16">HLOOKUP($P$3,#REF!,126+E47,0)</f>
        <v>#REF!</v>
      </c>
      <c r="J47" s="234" t="e">
        <f t="shared" ref="J47:J50" si="17">H47+I47</f>
        <v>#REF!</v>
      </c>
      <c r="K47" s="218">
        <v>43969</v>
      </c>
      <c r="L47" s="235">
        <v>1306800</v>
      </c>
      <c r="M47" s="236" t="s">
        <v>77</v>
      </c>
      <c r="N47" s="237" t="s">
        <v>77</v>
      </c>
      <c r="O47" s="238" t="s">
        <v>77</v>
      </c>
      <c r="P47" s="43" t="s">
        <v>77</v>
      </c>
      <c r="Q47" s="1"/>
      <c r="R47" s="1"/>
      <c r="S47" s="1"/>
      <c r="T47" s="4"/>
      <c r="U47" s="4"/>
      <c r="V47" s="4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>
      <c r="A48" s="1"/>
      <c r="B48" s="1"/>
      <c r="C48" s="1"/>
      <c r="D48" s="1"/>
      <c r="E48" s="67">
        <v>2</v>
      </c>
      <c r="F48" s="243">
        <v>3648426.9000000013</v>
      </c>
      <c r="G48" s="69"/>
      <c r="H48" s="232" t="e">
        <f t="shared" si="15"/>
        <v>#REF!</v>
      </c>
      <c r="I48" s="239" t="e">
        <f t="shared" si="16"/>
        <v>#REF!</v>
      </c>
      <c r="J48" s="234" t="e">
        <f t="shared" si="17"/>
        <v>#REF!</v>
      </c>
      <c r="K48" s="218">
        <v>44270</v>
      </c>
      <c r="L48" s="235">
        <v>1878467.49</v>
      </c>
      <c r="M48" s="236" t="s">
        <v>77</v>
      </c>
      <c r="N48" s="237" t="s">
        <v>77</v>
      </c>
      <c r="O48" s="238" t="s">
        <v>77</v>
      </c>
      <c r="P48" s="43" t="s">
        <v>77</v>
      </c>
      <c r="Q48" s="1"/>
      <c r="R48" s="1"/>
      <c r="S48" s="1"/>
      <c r="T48" s="4"/>
      <c r="U48" s="4"/>
      <c r="V48" s="4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>
      <c r="A49" s="1"/>
      <c r="B49" s="1"/>
      <c r="C49" s="1"/>
      <c r="D49" s="1"/>
      <c r="E49" s="67">
        <v>3</v>
      </c>
      <c r="F49" s="243" t="e">
        <f t="shared" ref="F49:F50" si="18">HLOOKUP($P$3,#REF!,116+E49,0)</f>
        <v>#REF!</v>
      </c>
      <c r="G49" s="69"/>
      <c r="H49" s="232" t="e">
        <f t="shared" si="15"/>
        <v>#REF!</v>
      </c>
      <c r="I49" s="239" t="e">
        <f t="shared" si="16"/>
        <v>#REF!</v>
      </c>
      <c r="J49" s="234" t="e">
        <f t="shared" si="17"/>
        <v>#REF!</v>
      </c>
      <c r="K49" s="218" t="s">
        <v>77</v>
      </c>
      <c r="L49" s="235">
        <v>589986.47</v>
      </c>
      <c r="M49" s="236" t="s">
        <v>77</v>
      </c>
      <c r="N49" s="237" t="s">
        <v>77</v>
      </c>
      <c r="O49" s="238" t="s">
        <v>77</v>
      </c>
      <c r="P49" s="43" t="s">
        <v>77</v>
      </c>
      <c r="Q49" s="1"/>
      <c r="R49" s="1"/>
      <c r="S49" s="1"/>
      <c r="T49" s="4"/>
      <c r="U49" s="4"/>
      <c r="V49" s="4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>
      <c r="A50" s="1"/>
      <c r="B50" s="1"/>
      <c r="C50" s="1"/>
      <c r="D50" s="1"/>
      <c r="E50" s="67">
        <v>4</v>
      </c>
      <c r="F50" s="243" t="e">
        <f t="shared" si="18"/>
        <v>#REF!</v>
      </c>
      <c r="G50" s="69"/>
      <c r="H50" s="232" t="e">
        <f t="shared" si="15"/>
        <v>#REF!</v>
      </c>
      <c r="I50" s="239" t="e">
        <f t="shared" si="16"/>
        <v>#REF!</v>
      </c>
      <c r="J50" s="234" t="e">
        <f t="shared" si="17"/>
        <v>#REF!</v>
      </c>
      <c r="K50" s="218" t="s">
        <v>77</v>
      </c>
      <c r="L50" s="235" t="s">
        <v>54</v>
      </c>
      <c r="M50" s="236" t="s">
        <v>77</v>
      </c>
      <c r="N50" s="237" t="s">
        <v>77</v>
      </c>
      <c r="O50" s="238" t="s">
        <v>77</v>
      </c>
      <c r="P50" s="43" t="s">
        <v>77</v>
      </c>
      <c r="Q50" s="1"/>
      <c r="R50" s="1"/>
      <c r="S50" s="1"/>
      <c r="T50" s="4"/>
      <c r="U50" s="4"/>
      <c r="V50" s="4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>
      <c r="A51" s="1"/>
      <c r="B51" s="1"/>
      <c r="C51" s="1"/>
      <c r="D51" s="1"/>
      <c r="E51" s="67"/>
      <c r="F51" s="243"/>
      <c r="G51" s="69"/>
      <c r="H51" s="232"/>
      <c r="I51" s="239"/>
      <c r="J51" s="70"/>
      <c r="K51" s="218"/>
      <c r="L51" s="235"/>
      <c r="M51" s="244"/>
      <c r="N51" s="237"/>
      <c r="O51" s="241"/>
      <c r="P51" s="43"/>
      <c r="Q51" s="1"/>
      <c r="R51" s="1"/>
      <c r="S51" s="1"/>
      <c r="T51" s="4"/>
      <c r="U51" s="4"/>
      <c r="V51" s="4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>
      <c r="A52" s="1"/>
      <c r="B52" s="1"/>
      <c r="C52" s="1"/>
      <c r="D52" s="1"/>
      <c r="E52" s="45" t="s">
        <v>55</v>
      </c>
      <c r="F52" s="46" t="e">
        <f>SUM(F47:F51)</f>
        <v>#REF!</v>
      </c>
      <c r="G52" s="47"/>
      <c r="H52" s="48" t="e">
        <f t="shared" ref="H52:J52" si="19">SUM(H47:H51)</f>
        <v>#REF!</v>
      </c>
      <c r="I52" s="49" t="e">
        <f t="shared" si="19"/>
        <v>#REF!</v>
      </c>
      <c r="J52" s="50" t="e">
        <f t="shared" si="19"/>
        <v>#REF!</v>
      </c>
      <c r="K52" s="51" t="s">
        <v>29</v>
      </c>
      <c r="L52" s="52">
        <f>SUM(L47:L51)</f>
        <v>3775253.96</v>
      </c>
      <c r="M52" s="312">
        <f>SUM(N47:N51)</f>
        <v>0</v>
      </c>
      <c r="N52" s="376"/>
      <c r="O52" s="310">
        <f>SUM(P47:P51)</f>
        <v>0</v>
      </c>
      <c r="P52" s="379"/>
      <c r="Q52" s="1"/>
      <c r="R52" s="1"/>
      <c r="S52" s="1"/>
      <c r="T52" s="4"/>
      <c r="U52" s="4"/>
      <c r="V52" s="4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>
      <c r="A53" s="1"/>
      <c r="B53" s="1"/>
      <c r="C53" s="1"/>
      <c r="D53" s="1"/>
      <c r="E53" s="53" t="s">
        <v>57</v>
      </c>
      <c r="F53" s="54" t="e">
        <f>I11-F52</f>
        <v>#REF!</v>
      </c>
      <c r="G53" s="313" t="s">
        <v>62</v>
      </c>
      <c r="H53" s="359"/>
      <c r="I53" s="359"/>
      <c r="J53" s="55" t="e">
        <f>U42</f>
        <v>#REF!</v>
      </c>
      <c r="K53" s="53" t="s">
        <v>59</v>
      </c>
      <c r="L53" s="54" t="e">
        <f>F52-L52</f>
        <v>#REF!</v>
      </c>
      <c r="M53" s="314" t="e">
        <f>H52-M52</f>
        <v>#REF!</v>
      </c>
      <c r="N53" s="359"/>
      <c r="O53" s="311" t="e">
        <f>I52-O52</f>
        <v>#REF!</v>
      </c>
      <c r="P53" s="360"/>
      <c r="Q53" s="1"/>
      <c r="R53" s="1"/>
      <c r="S53" s="1"/>
      <c r="T53" s="4"/>
      <c r="U53" s="4"/>
      <c r="V53" s="4"/>
      <c r="W53" s="1"/>
      <c r="X53" s="1"/>
      <c r="Y53" s="1"/>
      <c r="Z53" s="1"/>
      <c r="AA53" s="1"/>
      <c r="AB53" s="1"/>
      <c r="AC53" s="1"/>
      <c r="AD53" s="1"/>
      <c r="AE53" s="1"/>
    </row>
    <row r="54" spans="1:31" ht="6" customHeight="1">
      <c r="A54" s="1"/>
      <c r="B54" s="1"/>
      <c r="C54" s="1"/>
      <c r="D54" s="1"/>
      <c r="E54" s="56"/>
      <c r="F54" s="4"/>
      <c r="G54" s="44"/>
      <c r="H54" s="1"/>
      <c r="I54" s="1"/>
      <c r="J54" s="4"/>
      <c r="K54" s="1"/>
      <c r="L54" s="57"/>
      <c r="M54" s="58"/>
      <c r="N54" s="4"/>
      <c r="O54" s="59"/>
      <c r="P54" s="60"/>
      <c r="Q54" s="1"/>
      <c r="R54" s="1"/>
      <c r="S54" s="1"/>
      <c r="T54" s="4"/>
      <c r="U54" s="4"/>
      <c r="V54" s="4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>
      <c r="A55" s="1"/>
      <c r="B55" s="1"/>
      <c r="C55" s="1"/>
      <c r="D55" s="1"/>
      <c r="E55" s="304" t="s">
        <v>63</v>
      </c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60"/>
      <c r="Q55" s="1"/>
      <c r="R55" s="1"/>
      <c r="S55" s="1"/>
      <c r="T55" s="4"/>
      <c r="U55" s="4"/>
      <c r="V55" s="4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1"/>
      <c r="D56" s="1"/>
      <c r="E56" s="305" t="s">
        <v>35</v>
      </c>
      <c r="F56" s="357"/>
      <c r="G56" s="375"/>
      <c r="H56" s="306"/>
      <c r="I56" s="357"/>
      <c r="J56" s="358"/>
      <c r="K56" s="305" t="s">
        <v>37</v>
      </c>
      <c r="L56" s="357"/>
      <c r="M56" s="357"/>
      <c r="N56" s="357"/>
      <c r="O56" s="357"/>
      <c r="P56" s="358"/>
      <c r="Q56" s="1"/>
      <c r="R56" s="1"/>
      <c r="S56" s="1"/>
      <c r="T56" s="4"/>
      <c r="U56" s="4"/>
      <c r="V56" s="4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1"/>
      <c r="D57" s="1"/>
      <c r="E57" s="61" t="s">
        <v>38</v>
      </c>
      <c r="F57" s="62" t="s">
        <v>39</v>
      </c>
      <c r="G57" s="63" t="s">
        <v>40</v>
      </c>
      <c r="H57" s="64"/>
      <c r="I57" s="65"/>
      <c r="J57" s="66"/>
      <c r="K57" s="307" t="s">
        <v>43</v>
      </c>
      <c r="L57" s="380"/>
      <c r="M57" s="308"/>
      <c r="N57" s="381"/>
      <c r="O57" s="309"/>
      <c r="P57" s="365"/>
      <c r="Q57" s="1"/>
      <c r="R57" s="1"/>
      <c r="S57" s="1"/>
      <c r="T57" s="4"/>
      <c r="U57" s="4"/>
      <c r="V57" s="4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1"/>
      <c r="D58" s="1"/>
      <c r="E58" s="67">
        <v>1</v>
      </c>
      <c r="F58" s="243" t="e">
        <f t="shared" ref="F58:F61" si="20">HLOOKUP($P$3,#REF!,131+E58,0)</f>
        <v>#REF!</v>
      </c>
      <c r="G58" s="69"/>
      <c r="H58" s="232"/>
      <c r="I58" s="239"/>
      <c r="J58" s="234"/>
      <c r="K58" s="218" t="s">
        <v>77</v>
      </c>
      <c r="L58" s="235" t="s">
        <v>77</v>
      </c>
      <c r="M58" s="236"/>
      <c r="N58" s="237"/>
      <c r="O58" s="238"/>
      <c r="P58" s="43"/>
      <c r="Q58" s="1"/>
      <c r="R58" s="1"/>
      <c r="S58" s="1"/>
      <c r="T58" s="4"/>
      <c r="U58" s="4"/>
      <c r="V58" s="4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39"/>
      <c r="D59" s="1"/>
      <c r="E59" s="67">
        <v>2</v>
      </c>
      <c r="F59" s="243" t="e">
        <f t="shared" si="20"/>
        <v>#REF!</v>
      </c>
      <c r="G59" s="69"/>
      <c r="H59" s="232"/>
      <c r="I59" s="239"/>
      <c r="J59" s="234"/>
      <c r="K59" s="218" t="s">
        <v>77</v>
      </c>
      <c r="L59" s="235" t="s">
        <v>77</v>
      </c>
      <c r="M59" s="236"/>
      <c r="N59" s="237"/>
      <c r="O59" s="238"/>
      <c r="P59" s="43"/>
      <c r="Q59" s="1"/>
      <c r="R59" s="1"/>
      <c r="S59" s="1"/>
      <c r="T59" s="4"/>
      <c r="U59" s="4"/>
      <c r="V59" s="4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39"/>
      <c r="D60" s="1"/>
      <c r="E60" s="67">
        <v>3</v>
      </c>
      <c r="F60" s="243" t="e">
        <f t="shared" si="20"/>
        <v>#REF!</v>
      </c>
      <c r="G60" s="69"/>
      <c r="H60" s="232"/>
      <c r="I60" s="239"/>
      <c r="J60" s="234"/>
      <c r="K60" s="218" t="s">
        <v>77</v>
      </c>
      <c r="L60" s="235" t="s">
        <v>77</v>
      </c>
      <c r="M60" s="236"/>
      <c r="N60" s="237"/>
      <c r="O60" s="238"/>
      <c r="P60" s="43"/>
      <c r="Q60" s="1"/>
      <c r="R60" s="1"/>
      <c r="S60" s="1"/>
      <c r="T60" s="4"/>
      <c r="U60" s="4"/>
      <c r="V60" s="4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1"/>
      <c r="C61" s="39"/>
      <c r="D61" s="1"/>
      <c r="E61" s="67">
        <v>4</v>
      </c>
      <c r="F61" s="243" t="e">
        <f t="shared" si="20"/>
        <v>#REF!</v>
      </c>
      <c r="G61" s="69"/>
      <c r="H61" s="232"/>
      <c r="I61" s="239"/>
      <c r="J61" s="234"/>
      <c r="K61" s="218" t="s">
        <v>77</v>
      </c>
      <c r="L61" s="235" t="s">
        <v>77</v>
      </c>
      <c r="M61" s="236"/>
      <c r="N61" s="237"/>
      <c r="O61" s="238"/>
      <c r="P61" s="43"/>
      <c r="Q61" s="1"/>
      <c r="R61" s="1"/>
      <c r="S61" s="1"/>
      <c r="T61" s="4"/>
      <c r="U61" s="4"/>
      <c r="V61" s="4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1"/>
      <c r="D62" s="1"/>
      <c r="E62" s="67"/>
      <c r="F62" s="243"/>
      <c r="G62" s="69"/>
      <c r="H62" s="232"/>
      <c r="I62" s="239"/>
      <c r="J62" s="70"/>
      <c r="K62" s="218"/>
      <c r="L62" s="235"/>
      <c r="M62" s="244"/>
      <c r="N62" s="237"/>
      <c r="O62" s="241"/>
      <c r="P62" s="43"/>
      <c r="Q62" s="1"/>
      <c r="R62" s="1"/>
      <c r="S62" s="1"/>
      <c r="T62" s="4"/>
      <c r="U62" s="4"/>
      <c r="V62" s="4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45" t="s">
        <v>55</v>
      </c>
      <c r="F63" s="46" t="e">
        <f>SUM(F58:F62)</f>
        <v>#REF!</v>
      </c>
      <c r="G63" s="47"/>
      <c r="H63" s="48"/>
      <c r="I63" s="49"/>
      <c r="J63" s="50"/>
      <c r="K63" s="51" t="s">
        <v>29</v>
      </c>
      <c r="L63" s="52">
        <f>SUM(L58:L61)</f>
        <v>0</v>
      </c>
      <c r="M63" s="312"/>
      <c r="N63" s="376"/>
      <c r="O63" s="310"/>
      <c r="P63" s="379"/>
      <c r="Q63" s="1"/>
      <c r="R63" s="1"/>
      <c r="S63" s="1"/>
      <c r="T63" s="4"/>
      <c r="U63" s="4"/>
      <c r="V63" s="4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53" t="s">
        <v>57</v>
      </c>
      <c r="F64" s="54" t="e">
        <f>K11-F63</f>
        <v>#REF!</v>
      </c>
      <c r="G64" s="245"/>
      <c r="H64" s="71"/>
      <c r="I64" s="72">
        <f>F40</f>
        <v>0</v>
      </c>
      <c r="J64" s="246">
        <f>SUM(I64)</f>
        <v>0</v>
      </c>
      <c r="K64" s="53" t="s">
        <v>59</v>
      </c>
      <c r="L64" s="54" t="e">
        <f>F63-L63</f>
        <v>#REF!</v>
      </c>
      <c r="M64" s="314"/>
      <c r="N64" s="359"/>
      <c r="O64" s="311"/>
      <c r="P64" s="360"/>
      <c r="Q64" s="1"/>
      <c r="R64" s="1"/>
      <c r="S64" s="1"/>
      <c r="T64" s="4"/>
      <c r="U64" s="4"/>
      <c r="V64" s="4"/>
      <c r="W64" s="1"/>
      <c r="X64" s="1"/>
      <c r="Y64" s="1"/>
      <c r="Z64" s="1"/>
      <c r="AA64" s="1"/>
      <c r="AB64" s="1"/>
      <c r="AC64" s="1"/>
      <c r="AD64" s="1"/>
      <c r="AE64" s="1"/>
    </row>
    <row r="65" spans="1:31" ht="6" customHeight="1">
      <c r="A65" s="1"/>
      <c r="B65" s="1"/>
      <c r="C65" s="1"/>
      <c r="D65" s="1"/>
      <c r="E65" s="73"/>
      <c r="F65" s="247"/>
      <c r="G65" s="248"/>
      <c r="H65" s="248"/>
      <c r="I65" s="249"/>
      <c r="J65" s="248"/>
      <c r="K65" s="248"/>
      <c r="L65" s="248"/>
      <c r="M65" s="250"/>
      <c r="N65" s="248"/>
      <c r="O65" s="248"/>
      <c r="P65" s="74"/>
      <c r="Q65" s="1"/>
      <c r="R65" s="1"/>
      <c r="S65" s="1"/>
      <c r="T65" s="4"/>
      <c r="U65" s="4"/>
      <c r="V65" s="4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1"/>
      <c r="B66" s="1"/>
      <c r="C66" s="1"/>
      <c r="D66" s="1"/>
      <c r="E66" s="304" t="s">
        <v>64</v>
      </c>
      <c r="F66" s="359"/>
      <c r="G66" s="359"/>
      <c r="H66" s="359"/>
      <c r="I66" s="359"/>
      <c r="J66" s="359"/>
      <c r="K66" s="359"/>
      <c r="L66" s="359"/>
      <c r="M66" s="359"/>
      <c r="N66" s="359"/>
      <c r="O66" s="359"/>
      <c r="P66" s="360"/>
      <c r="Q66" s="1"/>
      <c r="R66" s="1"/>
      <c r="S66" s="1"/>
      <c r="T66" s="4"/>
      <c r="U66" s="4"/>
      <c r="V66" s="4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>
      <c r="A67" s="1"/>
      <c r="B67" s="1"/>
      <c r="C67" s="1"/>
      <c r="D67" s="1"/>
      <c r="E67" s="305" t="s">
        <v>35</v>
      </c>
      <c r="F67" s="357"/>
      <c r="G67" s="375"/>
      <c r="H67" s="306"/>
      <c r="I67" s="357"/>
      <c r="J67" s="358"/>
      <c r="K67" s="305" t="s">
        <v>37</v>
      </c>
      <c r="L67" s="357"/>
      <c r="M67" s="357"/>
      <c r="N67" s="357"/>
      <c r="O67" s="357"/>
      <c r="P67" s="358"/>
      <c r="Q67" s="1"/>
      <c r="R67" s="1"/>
      <c r="S67" s="1"/>
      <c r="T67" s="4"/>
      <c r="U67" s="4"/>
      <c r="V67" s="4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>
      <c r="A68" s="1"/>
      <c r="B68" s="1"/>
      <c r="C68" s="1"/>
      <c r="D68" s="1"/>
      <c r="E68" s="61" t="s">
        <v>38</v>
      </c>
      <c r="F68" s="62" t="s">
        <v>39</v>
      </c>
      <c r="G68" s="63" t="s">
        <v>40</v>
      </c>
      <c r="H68" s="64"/>
      <c r="I68" s="65"/>
      <c r="J68" s="66"/>
      <c r="K68" s="307" t="s">
        <v>43</v>
      </c>
      <c r="L68" s="380"/>
      <c r="M68" s="308"/>
      <c r="N68" s="381"/>
      <c r="O68" s="309"/>
      <c r="P68" s="365"/>
      <c r="Q68" s="1"/>
      <c r="R68" s="1"/>
      <c r="S68" s="1"/>
      <c r="T68" s="4"/>
      <c r="U68" s="4"/>
      <c r="V68" s="4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67">
        <v>1</v>
      </c>
      <c r="F69" s="243" t="e">
        <f t="shared" ref="F69:F72" si="21">HLOOKUP($P$3,#REF!,137+E69,0)</f>
        <v>#REF!</v>
      </c>
      <c r="G69" s="69"/>
      <c r="H69" s="232"/>
      <c r="I69" s="239"/>
      <c r="J69" s="234"/>
      <c r="K69" s="218" t="s">
        <v>77</v>
      </c>
      <c r="L69" s="235" t="s">
        <v>77</v>
      </c>
      <c r="M69" s="236"/>
      <c r="N69" s="237"/>
      <c r="O69" s="238"/>
      <c r="P69" s="43"/>
      <c r="Q69" s="1"/>
      <c r="R69" s="1"/>
      <c r="S69" s="1"/>
      <c r="T69" s="4"/>
      <c r="U69" s="4"/>
      <c r="V69" s="4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67">
        <v>2</v>
      </c>
      <c r="F70" s="243" t="e">
        <f t="shared" si="21"/>
        <v>#REF!</v>
      </c>
      <c r="G70" s="69"/>
      <c r="H70" s="232"/>
      <c r="I70" s="239"/>
      <c r="J70" s="234"/>
      <c r="K70" s="218" t="s">
        <v>77</v>
      </c>
      <c r="L70" s="235" t="s">
        <v>77</v>
      </c>
      <c r="M70" s="236"/>
      <c r="N70" s="237"/>
      <c r="O70" s="238"/>
      <c r="P70" s="43"/>
      <c r="Q70" s="1"/>
      <c r="R70" s="1"/>
      <c r="S70" s="1"/>
      <c r="T70" s="4"/>
      <c r="U70" s="4"/>
      <c r="V70" s="4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67">
        <v>3</v>
      </c>
      <c r="F71" s="243" t="e">
        <f t="shared" si="21"/>
        <v>#REF!</v>
      </c>
      <c r="G71" s="69"/>
      <c r="H71" s="232"/>
      <c r="I71" s="239"/>
      <c r="J71" s="234"/>
      <c r="K71" s="218" t="s">
        <v>77</v>
      </c>
      <c r="L71" s="235" t="s">
        <v>77</v>
      </c>
      <c r="M71" s="236"/>
      <c r="N71" s="237"/>
      <c r="O71" s="238"/>
      <c r="P71" s="43"/>
      <c r="Q71" s="1"/>
      <c r="R71" s="1"/>
      <c r="S71" s="1"/>
      <c r="T71" s="4"/>
      <c r="U71" s="4"/>
      <c r="V71" s="4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67">
        <v>4</v>
      </c>
      <c r="F72" s="243" t="e">
        <f t="shared" si="21"/>
        <v>#REF!</v>
      </c>
      <c r="G72" s="69"/>
      <c r="H72" s="232"/>
      <c r="I72" s="239"/>
      <c r="J72" s="234"/>
      <c r="K72" s="218" t="s">
        <v>77</v>
      </c>
      <c r="L72" s="235" t="s">
        <v>77</v>
      </c>
      <c r="M72" s="236"/>
      <c r="N72" s="237"/>
      <c r="O72" s="238"/>
      <c r="P72" s="43"/>
      <c r="Q72" s="1"/>
      <c r="R72" s="1"/>
      <c r="S72" s="1"/>
      <c r="T72" s="4"/>
      <c r="U72" s="4"/>
      <c r="V72" s="4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67"/>
      <c r="F73" s="243"/>
      <c r="G73" s="69"/>
      <c r="H73" s="232"/>
      <c r="I73" s="239"/>
      <c r="J73" s="70"/>
      <c r="K73" s="218"/>
      <c r="L73" s="235"/>
      <c r="M73" s="244"/>
      <c r="N73" s="237"/>
      <c r="O73" s="241"/>
      <c r="P73" s="43"/>
      <c r="Q73" s="1"/>
      <c r="R73" s="1"/>
      <c r="S73" s="1"/>
      <c r="T73" s="4"/>
      <c r="U73" s="4"/>
      <c r="V73" s="4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45" t="s">
        <v>55</v>
      </c>
      <c r="F74" s="46" t="e">
        <f>SUM(F69:F73)</f>
        <v>#REF!</v>
      </c>
      <c r="G74" s="47"/>
      <c r="H74" s="48"/>
      <c r="I74" s="49"/>
      <c r="J74" s="50"/>
      <c r="K74" s="51" t="s">
        <v>29</v>
      </c>
      <c r="L74" s="52">
        <f>SUM(L69:L72)</f>
        <v>0</v>
      </c>
      <c r="M74" s="312"/>
      <c r="N74" s="376"/>
      <c r="O74" s="310"/>
      <c r="P74" s="379"/>
      <c r="Q74" s="1"/>
      <c r="R74" s="1"/>
      <c r="S74" s="1"/>
      <c r="T74" s="4"/>
      <c r="U74" s="4"/>
      <c r="V74" s="4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53" t="s">
        <v>57</v>
      </c>
      <c r="F75" s="54" t="e">
        <f>M11-F74</f>
        <v>#REF!</v>
      </c>
      <c r="G75" s="245"/>
      <c r="H75" s="71"/>
      <c r="I75" s="72"/>
      <c r="J75" s="246"/>
      <c r="K75" s="53" t="s">
        <v>59</v>
      </c>
      <c r="L75" s="54" t="e">
        <f>F74-L74</f>
        <v>#REF!</v>
      </c>
      <c r="M75" s="314"/>
      <c r="N75" s="359"/>
      <c r="O75" s="311"/>
      <c r="P75" s="360"/>
      <c r="Q75" s="1"/>
      <c r="R75" s="1"/>
      <c r="S75" s="1"/>
      <c r="T75" s="4"/>
      <c r="U75" s="4"/>
      <c r="V75" s="4"/>
      <c r="W75" s="1"/>
      <c r="X75" s="1"/>
      <c r="Y75" s="1"/>
      <c r="Z75" s="1"/>
      <c r="AA75" s="1"/>
      <c r="AB75" s="1"/>
      <c r="AC75" s="1"/>
      <c r="AD75" s="1"/>
      <c r="AE75" s="1"/>
    </row>
    <row r="76" spans="1:31" ht="6" customHeight="1">
      <c r="A76" s="1"/>
      <c r="B76" s="1"/>
      <c r="C76" s="1"/>
      <c r="D76" s="1"/>
      <c r="E76" s="73"/>
      <c r="F76" s="247"/>
      <c r="G76" s="248"/>
      <c r="H76" s="248"/>
      <c r="I76" s="249"/>
      <c r="J76" s="248"/>
      <c r="K76" s="248"/>
      <c r="L76" s="248"/>
      <c r="M76" s="250"/>
      <c r="N76" s="248"/>
      <c r="O76" s="248"/>
      <c r="P76" s="74"/>
      <c r="Q76" s="1"/>
      <c r="R76" s="1"/>
      <c r="S76" s="1"/>
      <c r="T76" s="4"/>
      <c r="U76" s="4"/>
      <c r="V76" s="4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304" t="s">
        <v>101</v>
      </c>
      <c r="F77" s="359"/>
      <c r="G77" s="359"/>
      <c r="H77" s="359"/>
      <c r="I77" s="359"/>
      <c r="J77" s="359"/>
      <c r="K77" s="359"/>
      <c r="L77" s="359"/>
      <c r="M77" s="359"/>
      <c r="N77" s="359"/>
      <c r="O77" s="359"/>
      <c r="P77" s="360"/>
      <c r="Q77" s="1"/>
      <c r="R77" s="1"/>
      <c r="S77" s="1"/>
      <c r="T77" s="4"/>
      <c r="U77" s="4"/>
      <c r="V77" s="4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305" t="s">
        <v>102</v>
      </c>
      <c r="F78" s="357"/>
      <c r="G78" s="357"/>
      <c r="H78" s="357"/>
      <c r="I78" s="357"/>
      <c r="J78" s="358"/>
      <c r="K78" s="305" t="s">
        <v>103</v>
      </c>
      <c r="L78" s="357"/>
      <c r="M78" s="357"/>
      <c r="N78" s="357"/>
      <c r="O78" s="357"/>
      <c r="P78" s="358"/>
      <c r="Q78" s="1"/>
      <c r="R78" s="1"/>
      <c r="S78" s="1"/>
      <c r="T78" s="4"/>
      <c r="U78" s="4"/>
      <c r="V78" s="4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3"/>
      <c r="B79" s="3"/>
      <c r="C79" s="3"/>
      <c r="D79" s="3"/>
      <c r="E79" s="75" t="s">
        <v>38</v>
      </c>
      <c r="F79" s="62" t="s">
        <v>39</v>
      </c>
      <c r="G79" s="315" t="s">
        <v>104</v>
      </c>
      <c r="H79" s="380"/>
      <c r="I79" s="315" t="s">
        <v>105</v>
      </c>
      <c r="J79" s="380"/>
      <c r="K79" s="307" t="s">
        <v>39</v>
      </c>
      <c r="L79" s="380"/>
      <c r="M79" s="308"/>
      <c r="N79" s="381"/>
      <c r="O79" s="309"/>
      <c r="P79" s="365"/>
      <c r="Q79" s="3"/>
      <c r="R79" s="3"/>
      <c r="S79" s="3"/>
      <c r="T79" s="59"/>
      <c r="U79" s="59"/>
      <c r="V79" s="59"/>
      <c r="W79" s="3"/>
      <c r="X79" s="3"/>
      <c r="Y79" s="3"/>
      <c r="Z79" s="3"/>
      <c r="AA79" s="3"/>
      <c r="AB79" s="3"/>
      <c r="AC79" s="3"/>
      <c r="AD79" s="3"/>
      <c r="AE79" s="3"/>
    </row>
    <row r="80" spans="1:31" ht="15.75" customHeight="1">
      <c r="A80" s="1"/>
      <c r="B80" s="1"/>
      <c r="C80" s="1"/>
      <c r="D80" s="1"/>
      <c r="E80" s="67">
        <v>1</v>
      </c>
      <c r="F80" s="243">
        <v>115000</v>
      </c>
      <c r="G80" s="316" t="s">
        <v>106</v>
      </c>
      <c r="H80" s="382"/>
      <c r="I80" s="354" t="s">
        <v>107</v>
      </c>
      <c r="J80" s="382"/>
      <c r="K80" s="218"/>
      <c r="L80" s="235"/>
      <c r="M80" s="244"/>
      <c r="N80" s="237"/>
      <c r="O80" s="241"/>
      <c r="P80" s="43"/>
      <c r="Q80" s="1"/>
      <c r="R80" s="1"/>
      <c r="S80" s="1"/>
      <c r="T80" s="4"/>
      <c r="U80" s="4"/>
      <c r="V80" s="4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67">
        <v>2</v>
      </c>
      <c r="F81" s="231">
        <v>14800</v>
      </c>
      <c r="G81" s="353" t="s">
        <v>108</v>
      </c>
      <c r="H81" s="377"/>
      <c r="I81" s="353" t="s">
        <v>109</v>
      </c>
      <c r="J81" s="377"/>
      <c r="K81" s="218" t="s">
        <v>45</v>
      </c>
      <c r="L81" s="235"/>
      <c r="M81" s="244"/>
      <c r="N81" s="237"/>
      <c r="O81" s="241"/>
      <c r="P81" s="43"/>
      <c r="Q81" s="1"/>
      <c r="R81" s="1"/>
      <c r="S81" s="1"/>
      <c r="T81" s="4"/>
      <c r="U81" s="4"/>
      <c r="V81" s="4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67">
        <v>3</v>
      </c>
      <c r="F82" s="243" t="e">
        <f t="shared" ref="F82:F83" si="22">HLOOKUP($P$3,#REF!,137+E82,0)</f>
        <v>#REF!</v>
      </c>
      <c r="G82" s="353" t="s">
        <v>110</v>
      </c>
      <c r="H82" s="377"/>
      <c r="I82" s="353" t="s">
        <v>109</v>
      </c>
      <c r="J82" s="377"/>
      <c r="K82" s="218" t="s">
        <v>77</v>
      </c>
      <c r="L82" s="235"/>
      <c r="M82" s="244"/>
      <c r="N82" s="237"/>
      <c r="O82" s="241"/>
      <c r="P82" s="43"/>
      <c r="Q82" s="1"/>
      <c r="R82" s="1"/>
      <c r="S82" s="1"/>
      <c r="T82" s="4"/>
      <c r="U82" s="4"/>
      <c r="V82" s="4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67">
        <v>4</v>
      </c>
      <c r="F83" s="243" t="e">
        <f t="shared" si="22"/>
        <v>#REF!</v>
      </c>
      <c r="G83" s="317"/>
      <c r="H83" s="377"/>
      <c r="I83" s="317"/>
      <c r="J83" s="377"/>
      <c r="K83" s="218" t="s">
        <v>77</v>
      </c>
      <c r="L83" s="235"/>
      <c r="M83" s="244"/>
      <c r="N83" s="237"/>
      <c r="O83" s="241"/>
      <c r="P83" s="43"/>
      <c r="Q83" s="1"/>
      <c r="R83" s="1"/>
      <c r="S83" s="1"/>
      <c r="T83" s="4"/>
      <c r="U83" s="4"/>
      <c r="V83" s="4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67"/>
      <c r="F84" s="243"/>
      <c r="G84" s="318"/>
      <c r="H84" s="383"/>
      <c r="I84" s="318"/>
      <c r="J84" s="383"/>
      <c r="K84" s="218"/>
      <c r="L84" s="235"/>
      <c r="M84" s="244"/>
      <c r="N84" s="237"/>
      <c r="O84" s="241"/>
      <c r="P84" s="43"/>
      <c r="Q84" s="1"/>
      <c r="R84" s="1"/>
      <c r="S84" s="1"/>
      <c r="T84" s="4"/>
      <c r="U84" s="4"/>
      <c r="V84" s="4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45" t="s">
        <v>55</v>
      </c>
      <c r="F85" s="46" t="e">
        <f>SUM(F80:F84)</f>
        <v>#REF!</v>
      </c>
      <c r="G85" s="47"/>
      <c r="H85" s="47"/>
      <c r="I85" s="47"/>
      <c r="J85" s="47"/>
      <c r="K85" s="51" t="s">
        <v>29</v>
      </c>
      <c r="L85" s="52">
        <f>SUM(L80:L83)</f>
        <v>0</v>
      </c>
      <c r="M85" s="312"/>
      <c r="N85" s="376"/>
      <c r="O85" s="310"/>
      <c r="P85" s="379"/>
      <c r="Q85" s="1"/>
      <c r="R85" s="1"/>
      <c r="S85" s="1"/>
      <c r="T85" s="4"/>
      <c r="U85" s="4"/>
      <c r="V85" s="4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4"/>
      <c r="K86" s="1"/>
      <c r="L86" s="1"/>
      <c r="M86" s="58"/>
      <c r="N86" s="1"/>
      <c r="O86" s="1"/>
      <c r="P86" s="84"/>
      <c r="Q86" s="84"/>
      <c r="R86" s="84"/>
      <c r="S86" s="84"/>
      <c r="T86" s="4"/>
      <c r="U86" s="4"/>
      <c r="V86" s="4"/>
      <c r="W86" s="84"/>
      <c r="X86" s="84"/>
      <c r="Y86" s="84"/>
      <c r="Z86" s="84"/>
      <c r="AA86" s="84"/>
      <c r="AB86" s="84"/>
      <c r="AC86" s="84"/>
      <c r="AD86" s="84"/>
      <c r="AE86" s="84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4"/>
      <c r="K87" s="1"/>
      <c r="L87" s="1"/>
      <c r="M87" s="58"/>
      <c r="N87" s="1"/>
      <c r="O87" s="1"/>
      <c r="P87" s="84"/>
      <c r="Q87" s="84"/>
      <c r="R87" s="84"/>
      <c r="S87" s="84"/>
      <c r="T87" s="4"/>
      <c r="U87" s="4"/>
      <c r="V87" s="4"/>
      <c r="W87" s="84"/>
      <c r="X87" s="84"/>
      <c r="Y87" s="84"/>
      <c r="Z87" s="84"/>
      <c r="AA87" s="84"/>
      <c r="AB87" s="84"/>
      <c r="AC87" s="84"/>
      <c r="AD87" s="84"/>
      <c r="AE87" s="84"/>
    </row>
    <row r="88" spans="1:31" ht="15.75" customHeight="1">
      <c r="A88" s="1"/>
      <c r="B88" s="1"/>
      <c r="C88" s="4"/>
      <c r="D88" s="1"/>
      <c r="E88" s="4"/>
      <c r="F88" s="1"/>
      <c r="G88" s="1"/>
      <c r="H88" s="1"/>
      <c r="I88" s="1"/>
      <c r="J88" s="4"/>
      <c r="K88" s="1"/>
      <c r="L88" s="1"/>
      <c r="M88" s="58"/>
      <c r="N88" s="1"/>
      <c r="O88" s="1"/>
      <c r="P88" s="84"/>
      <c r="Q88" s="84"/>
      <c r="R88" s="84"/>
      <c r="S88" s="84"/>
      <c r="T88" s="4"/>
      <c r="U88" s="4"/>
      <c r="V88" s="4"/>
      <c r="W88" s="84"/>
      <c r="X88" s="84"/>
      <c r="Y88" s="84"/>
      <c r="Z88" s="84"/>
      <c r="AA88" s="84"/>
      <c r="AB88" s="84"/>
      <c r="AC88" s="84"/>
      <c r="AD88" s="84"/>
      <c r="AE88" s="84"/>
    </row>
    <row r="89" spans="1:31" ht="15.75" customHeight="1">
      <c r="A89" s="1"/>
      <c r="B89" s="1"/>
      <c r="C89" s="4"/>
      <c r="D89" s="1"/>
      <c r="E89" s="4"/>
      <c r="F89" s="1"/>
      <c r="G89" s="3"/>
      <c r="H89" s="3"/>
      <c r="I89" s="1"/>
      <c r="J89" s="4"/>
      <c r="K89" s="1"/>
      <c r="L89" s="1"/>
      <c r="M89" s="58"/>
      <c r="N89" s="1"/>
      <c r="O89" s="1"/>
      <c r="P89" s="84"/>
      <c r="Q89" s="84"/>
      <c r="R89" s="84"/>
      <c r="S89" s="84"/>
      <c r="T89" s="4"/>
      <c r="U89" s="4"/>
      <c r="V89" s="4"/>
      <c r="W89" s="84"/>
      <c r="X89" s="84"/>
      <c r="Y89" s="84"/>
      <c r="Z89" s="84"/>
      <c r="AA89" s="84"/>
      <c r="AB89" s="84"/>
      <c r="AC89" s="84"/>
      <c r="AD89" s="84"/>
      <c r="AE89" s="84"/>
    </row>
    <row r="90" spans="1:31" ht="15.75" customHeight="1">
      <c r="A90" s="1"/>
      <c r="B90" s="1"/>
      <c r="C90" s="4"/>
      <c r="D90" s="1"/>
      <c r="E90" s="4"/>
      <c r="F90" s="1"/>
      <c r="G90" s="4"/>
      <c r="H90" s="4"/>
      <c r="I90" s="4"/>
      <c r="J90" s="4"/>
      <c r="K90" s="1"/>
      <c r="L90" s="1"/>
      <c r="M90" s="58"/>
      <c r="N90" s="1"/>
      <c r="O90" s="1"/>
      <c r="P90" s="84"/>
      <c r="Q90" s="84"/>
      <c r="R90" s="84"/>
      <c r="S90" s="84"/>
      <c r="T90" s="4"/>
      <c r="U90" s="4"/>
      <c r="V90" s="4"/>
      <c r="W90" s="84"/>
      <c r="X90" s="84"/>
      <c r="Y90" s="84"/>
      <c r="Z90" s="84"/>
      <c r="AA90" s="84"/>
      <c r="AB90" s="84"/>
      <c r="AC90" s="84"/>
      <c r="AD90" s="84"/>
      <c r="AE90" s="84"/>
    </row>
    <row r="91" spans="1:31" ht="15.75" customHeight="1">
      <c r="A91" s="1"/>
      <c r="B91" s="1"/>
      <c r="C91" s="4"/>
      <c r="D91" s="1"/>
      <c r="E91" s="4"/>
      <c r="F91" s="1"/>
      <c r="G91" s="44"/>
      <c r="H91" s="44"/>
      <c r="I91" s="44"/>
      <c r="J91" s="4"/>
      <c r="K91" s="1"/>
      <c r="L91" s="1"/>
      <c r="M91" s="58"/>
      <c r="N91" s="1"/>
      <c r="O91" s="1"/>
      <c r="P91" s="84"/>
      <c r="Q91" s="84"/>
      <c r="R91" s="84"/>
      <c r="S91" s="84"/>
      <c r="T91" s="4"/>
      <c r="U91" s="4"/>
      <c r="V91" s="4"/>
      <c r="W91" s="84"/>
      <c r="X91" s="84"/>
      <c r="Y91" s="84"/>
      <c r="Z91" s="84"/>
      <c r="AA91" s="84"/>
      <c r="AB91" s="84"/>
      <c r="AC91" s="84"/>
      <c r="AD91" s="84"/>
      <c r="AE91" s="84"/>
    </row>
    <row r="92" spans="1:31" ht="15.75" customHeight="1">
      <c r="A92" s="1"/>
      <c r="B92" s="1"/>
      <c r="C92" s="4"/>
      <c r="D92" s="1"/>
      <c r="E92" s="4"/>
      <c r="F92" s="1"/>
      <c r="G92" s="1"/>
      <c r="H92" s="1"/>
      <c r="I92" s="1"/>
      <c r="J92" s="4"/>
      <c r="K92" s="1"/>
      <c r="L92" s="1"/>
      <c r="M92" s="58"/>
      <c r="N92" s="1"/>
      <c r="O92" s="1"/>
      <c r="P92" s="84"/>
      <c r="Q92" s="84"/>
      <c r="R92" s="84"/>
      <c r="S92" s="84"/>
      <c r="T92" s="4"/>
      <c r="U92" s="4"/>
      <c r="V92" s="4"/>
      <c r="W92" s="84"/>
      <c r="X92" s="84"/>
      <c r="Y92" s="84"/>
      <c r="Z92" s="84"/>
      <c r="AA92" s="84"/>
      <c r="AB92" s="84"/>
      <c r="AC92" s="84"/>
      <c r="AD92" s="84"/>
      <c r="AE92" s="84"/>
    </row>
    <row r="93" spans="1:31" ht="15.75" customHeight="1">
      <c r="A93" s="1"/>
      <c r="B93" s="1"/>
      <c r="C93" s="4"/>
      <c r="D93" s="1"/>
      <c r="E93" s="4"/>
      <c r="F93" s="1"/>
      <c r="G93" s="319"/>
      <c r="H93" s="356"/>
      <c r="I93" s="1"/>
      <c r="J93" s="4"/>
      <c r="K93" s="1"/>
      <c r="L93" s="1"/>
      <c r="M93" s="58"/>
      <c r="N93" s="1"/>
      <c r="O93" s="1"/>
      <c r="P93" s="84"/>
      <c r="Q93" s="84"/>
      <c r="R93" s="84"/>
      <c r="S93" s="84"/>
      <c r="T93" s="4"/>
      <c r="U93" s="4"/>
      <c r="V93" s="4"/>
      <c r="W93" s="84"/>
      <c r="X93" s="84"/>
      <c r="Y93" s="84"/>
      <c r="Z93" s="84"/>
      <c r="AA93" s="84"/>
      <c r="AB93" s="84"/>
      <c r="AC93" s="84"/>
      <c r="AD93" s="84"/>
      <c r="AE93" s="84"/>
    </row>
    <row r="94" spans="1:31" ht="15.75" customHeight="1">
      <c r="A94" s="1"/>
      <c r="B94" s="1"/>
      <c r="C94" s="4"/>
      <c r="D94" s="1"/>
      <c r="E94" s="4"/>
      <c r="F94" s="1"/>
      <c r="G94" s="3"/>
      <c r="H94" s="3"/>
      <c r="I94" s="1"/>
      <c r="J94" s="4"/>
      <c r="K94" s="1"/>
      <c r="L94" s="1"/>
      <c r="M94" s="58"/>
      <c r="N94" s="1"/>
      <c r="O94" s="1"/>
      <c r="P94" s="84"/>
      <c r="Q94" s="84"/>
      <c r="R94" s="84"/>
      <c r="S94" s="84"/>
      <c r="T94" s="4"/>
      <c r="U94" s="4"/>
      <c r="V94" s="4"/>
      <c r="W94" s="84"/>
      <c r="X94" s="84"/>
      <c r="Y94" s="84"/>
      <c r="Z94" s="84"/>
      <c r="AA94" s="84"/>
      <c r="AB94" s="84"/>
      <c r="AC94" s="84"/>
      <c r="AD94" s="84"/>
      <c r="AE94" s="84"/>
    </row>
    <row r="95" spans="1:31" ht="15.75" customHeight="1">
      <c r="A95" s="1"/>
      <c r="B95" s="1"/>
      <c r="C95" s="4"/>
      <c r="D95" s="1"/>
      <c r="E95" s="4"/>
      <c r="F95" s="4"/>
      <c r="G95" s="4"/>
      <c r="H95" s="4"/>
      <c r="I95" s="4"/>
      <c r="J95" s="4"/>
      <c r="K95" s="1"/>
      <c r="L95" s="1"/>
      <c r="M95" s="58"/>
      <c r="N95" s="1"/>
      <c r="O95" s="1"/>
      <c r="P95" s="84"/>
      <c r="Q95" s="84"/>
      <c r="R95" s="84"/>
      <c r="S95" s="84"/>
      <c r="T95" s="4"/>
      <c r="U95" s="4"/>
      <c r="V95" s="4"/>
      <c r="W95" s="84"/>
      <c r="X95" s="84"/>
      <c r="Y95" s="84"/>
      <c r="Z95" s="84"/>
      <c r="AA95" s="84"/>
      <c r="AB95" s="84"/>
      <c r="AC95" s="84"/>
      <c r="AD95" s="84"/>
      <c r="AE95" s="84"/>
    </row>
    <row r="96" spans="1:31" ht="15.75" customHeight="1">
      <c r="A96" s="1"/>
      <c r="B96" s="1"/>
      <c r="C96" s="4"/>
      <c r="D96" s="1"/>
      <c r="E96" s="4"/>
      <c r="F96" s="4"/>
      <c r="G96" s="1"/>
      <c r="H96" s="44"/>
      <c r="I96" s="44"/>
      <c r="J96" s="4"/>
      <c r="K96" s="1"/>
      <c r="L96" s="1"/>
      <c r="M96" s="58"/>
      <c r="N96" s="1"/>
      <c r="O96" s="1"/>
      <c r="P96" s="84"/>
      <c r="Q96" s="84"/>
      <c r="R96" s="84"/>
      <c r="S96" s="84"/>
      <c r="T96" s="4"/>
      <c r="U96" s="4"/>
      <c r="V96" s="4"/>
      <c r="W96" s="84"/>
      <c r="X96" s="84"/>
      <c r="Y96" s="84"/>
      <c r="Z96" s="84"/>
      <c r="AA96" s="84"/>
      <c r="AB96" s="84"/>
      <c r="AC96" s="84"/>
      <c r="AD96" s="84"/>
      <c r="AE96" s="84"/>
    </row>
    <row r="97" spans="1:31" ht="15.75" customHeight="1">
      <c r="A97" s="1"/>
      <c r="B97" s="1"/>
      <c r="C97" s="4"/>
      <c r="D97" s="1"/>
      <c r="E97" s="4"/>
      <c r="F97" s="4"/>
      <c r="G97" s="1"/>
      <c r="H97" s="1"/>
      <c r="I97" s="1"/>
      <c r="J97" s="4"/>
      <c r="K97" s="1"/>
      <c r="L97" s="1"/>
      <c r="M97" s="58"/>
      <c r="N97" s="1"/>
      <c r="O97" s="1"/>
      <c r="P97" s="84"/>
      <c r="Q97" s="84"/>
      <c r="R97" s="84"/>
      <c r="S97" s="84"/>
      <c r="T97" s="4"/>
      <c r="U97" s="4"/>
      <c r="V97" s="4"/>
      <c r="W97" s="84"/>
      <c r="X97" s="84"/>
      <c r="Y97" s="84"/>
      <c r="Z97" s="84"/>
      <c r="AA97" s="84"/>
      <c r="AB97" s="84"/>
      <c r="AC97" s="84"/>
      <c r="AD97" s="84"/>
      <c r="AE97" s="84"/>
    </row>
    <row r="98" spans="1:31" ht="15.75" customHeight="1">
      <c r="A98" s="1"/>
      <c r="B98" s="1"/>
      <c r="C98" s="4"/>
      <c r="D98" s="1"/>
      <c r="E98" s="4"/>
      <c r="F98" s="4"/>
      <c r="G98" s="319"/>
      <c r="H98" s="356"/>
      <c r="I98" s="1"/>
      <c r="J98" s="4"/>
      <c r="K98" s="1"/>
      <c r="L98" s="1"/>
      <c r="M98" s="58"/>
      <c r="N98" s="1"/>
      <c r="O98" s="1"/>
      <c r="P98" s="84"/>
      <c r="Q98" s="84"/>
      <c r="R98" s="84"/>
      <c r="S98" s="84"/>
      <c r="T98" s="4"/>
      <c r="U98" s="4"/>
      <c r="V98" s="4"/>
      <c r="W98" s="84"/>
      <c r="X98" s="84"/>
      <c r="Y98" s="84"/>
      <c r="Z98" s="84"/>
      <c r="AA98" s="84"/>
      <c r="AB98" s="84"/>
      <c r="AC98" s="84"/>
      <c r="AD98" s="84"/>
      <c r="AE98" s="84"/>
    </row>
    <row r="99" spans="1:31" ht="15.75" customHeight="1">
      <c r="A99" s="1"/>
      <c r="B99" s="1"/>
      <c r="C99" s="4"/>
      <c r="D99" s="1"/>
      <c r="E99" s="4"/>
      <c r="F99" s="4"/>
      <c r="G99" s="3"/>
      <c r="H99" s="3"/>
      <c r="I99" s="1"/>
      <c r="J99" s="4"/>
      <c r="K99" s="1"/>
      <c r="L99" s="1"/>
      <c r="M99" s="58"/>
      <c r="N99" s="1"/>
      <c r="O99" s="1"/>
      <c r="P99" s="84"/>
      <c r="Q99" s="84"/>
      <c r="R99" s="84"/>
      <c r="S99" s="84"/>
      <c r="T99" s="4"/>
      <c r="U99" s="4"/>
      <c r="V99" s="4"/>
      <c r="W99" s="84"/>
      <c r="X99" s="84"/>
      <c r="Y99" s="84"/>
      <c r="Z99" s="84"/>
      <c r="AA99" s="84"/>
      <c r="AB99" s="84"/>
      <c r="AC99" s="84"/>
      <c r="AD99" s="84"/>
      <c r="AE99" s="84"/>
    </row>
    <row r="100" spans="1:31" ht="15.75" customHeight="1">
      <c r="A100" s="1"/>
      <c r="B100" s="1"/>
      <c r="C100" s="4"/>
      <c r="D100" s="1"/>
      <c r="E100" s="4"/>
      <c r="F100" s="4"/>
      <c r="G100" s="4"/>
      <c r="H100" s="4"/>
      <c r="I100" s="4"/>
      <c r="J100" s="4"/>
      <c r="K100" s="1"/>
      <c r="L100" s="1"/>
      <c r="M100" s="58"/>
      <c r="N100" s="1"/>
      <c r="O100" s="1"/>
      <c r="P100" s="84"/>
      <c r="Q100" s="84"/>
      <c r="R100" s="84"/>
      <c r="S100" s="84"/>
      <c r="T100" s="4"/>
      <c r="U100" s="4"/>
      <c r="V100" s="4"/>
      <c r="W100" s="84"/>
      <c r="X100" s="84"/>
      <c r="Y100" s="84"/>
      <c r="Z100" s="84"/>
      <c r="AA100" s="84"/>
      <c r="AB100" s="84"/>
      <c r="AC100" s="84"/>
      <c r="AD100" s="84"/>
      <c r="AE100" s="84"/>
    </row>
    <row r="101" spans="1:31" ht="15.75" customHeight="1">
      <c r="A101" s="1"/>
      <c r="B101" s="1"/>
      <c r="C101" s="1"/>
      <c r="D101" s="1"/>
      <c r="E101" s="1"/>
      <c r="F101" s="4"/>
      <c r="G101" s="1"/>
      <c r="H101" s="1"/>
      <c r="I101" s="1"/>
      <c r="J101" s="4"/>
      <c r="K101" s="1"/>
      <c r="L101" s="1"/>
      <c r="M101" s="58"/>
      <c r="N101" s="1"/>
      <c r="O101" s="1"/>
      <c r="P101" s="84"/>
      <c r="Q101" s="84"/>
      <c r="R101" s="84"/>
      <c r="S101" s="84"/>
      <c r="T101" s="4"/>
      <c r="U101" s="4"/>
      <c r="V101" s="4"/>
      <c r="W101" s="84"/>
      <c r="X101" s="84"/>
      <c r="Y101" s="84"/>
      <c r="Z101" s="84"/>
      <c r="AA101" s="84"/>
      <c r="AB101" s="84"/>
      <c r="AC101" s="84"/>
      <c r="AD101" s="84"/>
      <c r="AE101" s="84"/>
    </row>
    <row r="102" spans="1:31" ht="15.75" customHeight="1">
      <c r="A102" s="1"/>
      <c r="B102" s="1"/>
      <c r="C102" s="1"/>
      <c r="D102" s="1"/>
      <c r="E102" s="1"/>
      <c r="F102" s="4"/>
      <c r="G102" s="1"/>
      <c r="H102" s="1"/>
      <c r="I102" s="1"/>
      <c r="J102" s="4"/>
      <c r="K102" s="1"/>
      <c r="L102" s="1"/>
      <c r="M102" s="58"/>
      <c r="N102" s="1"/>
      <c r="O102" s="1"/>
      <c r="P102" s="84"/>
      <c r="Q102" s="84"/>
      <c r="R102" s="84"/>
      <c r="S102" s="84"/>
      <c r="T102" s="4"/>
      <c r="U102" s="4"/>
      <c r="V102" s="4"/>
      <c r="W102" s="84"/>
      <c r="X102" s="84"/>
      <c r="Y102" s="84"/>
      <c r="Z102" s="84"/>
      <c r="AA102" s="84"/>
      <c r="AB102" s="84"/>
      <c r="AC102" s="84"/>
      <c r="AD102" s="84"/>
      <c r="AE102" s="84"/>
    </row>
    <row r="103" spans="1:31" ht="15.75" customHeight="1">
      <c r="A103" s="1"/>
      <c r="B103" s="1"/>
      <c r="C103" s="1"/>
      <c r="D103" s="1"/>
      <c r="E103" s="1"/>
      <c r="F103" s="4"/>
      <c r="G103" s="1"/>
      <c r="H103" s="1"/>
      <c r="I103" s="1"/>
      <c r="J103" s="4"/>
      <c r="K103" s="1"/>
      <c r="L103" s="1"/>
      <c r="M103" s="58"/>
      <c r="N103" s="1"/>
      <c r="O103" s="1"/>
      <c r="P103" s="84"/>
      <c r="Q103" s="84"/>
      <c r="R103" s="84"/>
      <c r="S103" s="84"/>
      <c r="T103" s="4"/>
      <c r="U103" s="4"/>
      <c r="V103" s="4"/>
      <c r="W103" s="84"/>
      <c r="X103" s="84"/>
      <c r="Y103" s="84"/>
      <c r="Z103" s="84"/>
      <c r="AA103" s="84"/>
      <c r="AB103" s="84"/>
      <c r="AC103" s="84"/>
      <c r="AD103" s="84"/>
      <c r="AE103" s="84"/>
    </row>
    <row r="104" spans="1:31" ht="15.75" customHeight="1">
      <c r="A104" s="1"/>
      <c r="B104" s="1"/>
      <c r="C104" s="1"/>
      <c r="D104" s="1"/>
      <c r="E104" s="1"/>
      <c r="F104" s="4"/>
      <c r="G104" s="89"/>
      <c r="H104" s="1"/>
      <c r="I104" s="1"/>
      <c r="J104" s="4"/>
      <c r="K104" s="1"/>
      <c r="L104" s="1"/>
      <c r="M104" s="58"/>
      <c r="N104" s="1"/>
      <c r="O104" s="1"/>
      <c r="P104" s="84"/>
      <c r="Q104" s="84"/>
      <c r="R104" s="84"/>
      <c r="S104" s="84"/>
      <c r="T104" s="4"/>
      <c r="U104" s="4"/>
      <c r="V104" s="4"/>
      <c r="W104" s="84"/>
      <c r="X104" s="84"/>
      <c r="Y104" s="84"/>
      <c r="Z104" s="84"/>
      <c r="AA104" s="84"/>
      <c r="AB104" s="84"/>
      <c r="AC104" s="84"/>
      <c r="AD104" s="84"/>
      <c r="AE104" s="84"/>
    </row>
    <row r="105" spans="1:31" ht="15.75" customHeight="1">
      <c r="A105" s="1"/>
      <c r="B105" s="1"/>
      <c r="C105" s="1"/>
      <c r="D105" s="1"/>
      <c r="E105" s="1"/>
      <c r="F105" s="1"/>
      <c r="G105" s="44"/>
      <c r="H105" s="4"/>
      <c r="I105" s="4"/>
      <c r="J105" s="4"/>
      <c r="K105" s="1"/>
      <c r="L105" s="1"/>
      <c r="M105" s="58"/>
      <c r="N105" s="1"/>
      <c r="O105" s="1"/>
      <c r="P105" s="84"/>
      <c r="Q105" s="84"/>
      <c r="R105" s="84"/>
      <c r="S105" s="84"/>
      <c r="T105" s="4"/>
      <c r="U105" s="4"/>
      <c r="V105" s="4"/>
      <c r="W105" s="84"/>
      <c r="X105" s="84"/>
      <c r="Y105" s="84"/>
      <c r="Z105" s="84"/>
      <c r="AA105" s="84"/>
      <c r="AB105" s="84"/>
      <c r="AC105" s="84"/>
      <c r="AD105" s="84"/>
      <c r="AE105" s="84"/>
    </row>
    <row r="106" spans="1:31" ht="15.75" customHeight="1">
      <c r="A106" s="1"/>
      <c r="B106" s="1"/>
      <c r="C106" s="1"/>
      <c r="D106" s="1"/>
      <c r="E106" s="1"/>
      <c r="F106" s="1"/>
      <c r="G106" s="44"/>
      <c r="H106" s="4"/>
      <c r="I106" s="4"/>
      <c r="J106" s="4"/>
      <c r="K106" s="1"/>
      <c r="L106" s="1"/>
      <c r="M106" s="58"/>
      <c r="N106" s="1"/>
      <c r="O106" s="1"/>
      <c r="P106" s="84"/>
      <c r="Q106" s="84"/>
      <c r="R106" s="84"/>
      <c r="S106" s="84"/>
      <c r="T106" s="4"/>
      <c r="U106" s="4"/>
      <c r="V106" s="4"/>
      <c r="W106" s="84"/>
      <c r="X106" s="84"/>
      <c r="Y106" s="84"/>
      <c r="Z106" s="84"/>
      <c r="AA106" s="84"/>
      <c r="AB106" s="84"/>
      <c r="AC106" s="84"/>
      <c r="AD106" s="84"/>
      <c r="AE106" s="84"/>
    </row>
    <row r="107" spans="1:31" ht="15.75" customHeight="1">
      <c r="A107" s="1"/>
      <c r="B107" s="1"/>
      <c r="C107" s="1"/>
      <c r="D107" s="1"/>
      <c r="E107" s="1"/>
      <c r="F107" s="1"/>
      <c r="G107" s="44"/>
      <c r="H107" s="4"/>
      <c r="I107" s="4"/>
      <c r="J107" s="4"/>
      <c r="K107" s="1"/>
      <c r="L107" s="1"/>
      <c r="M107" s="58"/>
      <c r="N107" s="1"/>
      <c r="O107" s="1"/>
      <c r="P107" s="84"/>
      <c r="Q107" s="84"/>
      <c r="R107" s="84"/>
      <c r="S107" s="84"/>
      <c r="T107" s="4"/>
      <c r="U107" s="4"/>
      <c r="V107" s="4"/>
      <c r="W107" s="84"/>
      <c r="X107" s="84"/>
      <c r="Y107" s="84"/>
      <c r="Z107" s="84"/>
      <c r="AA107" s="84"/>
      <c r="AB107" s="84"/>
      <c r="AC107" s="84"/>
      <c r="AD107" s="84"/>
      <c r="AE107" s="84"/>
    </row>
    <row r="108" spans="1:31" ht="15.75" customHeight="1">
      <c r="A108" s="1"/>
      <c r="B108" s="1"/>
      <c r="C108" s="1"/>
      <c r="D108" s="1"/>
      <c r="E108" s="1"/>
      <c r="F108" s="1"/>
      <c r="G108" s="44"/>
      <c r="H108" s="4"/>
      <c r="I108" s="4"/>
      <c r="J108" s="4"/>
      <c r="K108" s="1"/>
      <c r="L108" s="1"/>
      <c r="M108" s="58"/>
      <c r="N108" s="1"/>
      <c r="O108" s="1"/>
      <c r="P108" s="84"/>
      <c r="Q108" s="84"/>
      <c r="R108" s="84"/>
      <c r="S108" s="84"/>
      <c r="T108" s="4"/>
      <c r="U108" s="4"/>
      <c r="V108" s="4"/>
      <c r="W108" s="84"/>
      <c r="X108" s="84"/>
      <c r="Y108" s="84"/>
      <c r="Z108" s="84"/>
      <c r="AA108" s="84"/>
      <c r="AB108" s="84"/>
      <c r="AC108" s="84"/>
      <c r="AD108" s="84"/>
      <c r="AE108" s="84"/>
    </row>
    <row r="109" spans="1:31" ht="15.75" customHeight="1">
      <c r="A109" s="1"/>
      <c r="B109" s="1"/>
      <c r="C109" s="1"/>
      <c r="D109" s="1"/>
      <c r="E109" s="1"/>
      <c r="F109" s="1"/>
      <c r="G109" s="44"/>
      <c r="H109" s="4"/>
      <c r="I109" s="4"/>
      <c r="J109" s="4"/>
      <c r="K109" s="1"/>
      <c r="L109" s="1"/>
      <c r="M109" s="58"/>
      <c r="N109" s="1"/>
      <c r="O109" s="1"/>
      <c r="P109" s="84"/>
      <c r="Q109" s="84"/>
      <c r="R109" s="84"/>
      <c r="S109" s="84"/>
      <c r="T109" s="4"/>
      <c r="U109" s="4"/>
      <c r="V109" s="4"/>
      <c r="W109" s="84"/>
      <c r="X109" s="84"/>
      <c r="Y109" s="84"/>
      <c r="Z109" s="84"/>
      <c r="AA109" s="84"/>
      <c r="AB109" s="84"/>
      <c r="AC109" s="84"/>
      <c r="AD109" s="84"/>
      <c r="AE109" s="84"/>
    </row>
    <row r="110" spans="1:31" ht="15.75" customHeight="1">
      <c r="A110" s="1"/>
      <c r="B110" s="1"/>
      <c r="C110" s="1"/>
      <c r="D110" s="1"/>
      <c r="E110" s="1"/>
      <c r="F110" s="1"/>
      <c r="G110" s="44"/>
      <c r="H110" s="4"/>
      <c r="I110" s="4"/>
      <c r="J110" s="4"/>
      <c r="K110" s="1"/>
      <c r="L110" s="1"/>
      <c r="M110" s="58"/>
      <c r="N110" s="1"/>
      <c r="O110" s="1"/>
      <c r="P110" s="1"/>
      <c r="Q110" s="1"/>
      <c r="R110" s="1"/>
      <c r="S110" s="1"/>
      <c r="T110" s="4"/>
      <c r="U110" s="4"/>
      <c r="V110" s="4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44"/>
      <c r="H111" s="4"/>
      <c r="I111" s="4"/>
      <c r="J111" s="4"/>
      <c r="K111" s="1"/>
      <c r="L111" s="1"/>
      <c r="M111" s="58"/>
      <c r="N111" s="1"/>
      <c r="O111" s="1"/>
      <c r="P111" s="1"/>
      <c r="Q111" s="1"/>
      <c r="R111" s="1"/>
      <c r="S111" s="1"/>
      <c r="T111" s="4"/>
      <c r="U111" s="4"/>
      <c r="V111" s="4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44"/>
      <c r="H112" s="4"/>
      <c r="I112" s="4"/>
      <c r="J112" s="4"/>
      <c r="K112" s="1"/>
      <c r="L112" s="1"/>
      <c r="M112" s="58"/>
      <c r="N112" s="1"/>
      <c r="O112" s="1"/>
      <c r="P112" s="1"/>
      <c r="Q112" s="1"/>
      <c r="R112" s="1"/>
      <c r="S112" s="1"/>
      <c r="T112" s="4"/>
      <c r="U112" s="4"/>
      <c r="V112" s="4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44"/>
      <c r="H113" s="4"/>
      <c r="I113" s="4"/>
      <c r="J113" s="4"/>
      <c r="K113" s="1"/>
      <c r="L113" s="1"/>
      <c r="M113" s="58"/>
      <c r="N113" s="1"/>
      <c r="O113" s="1"/>
      <c r="P113" s="1"/>
      <c r="Q113" s="1"/>
      <c r="R113" s="1"/>
      <c r="S113" s="1"/>
      <c r="T113" s="4"/>
      <c r="U113" s="4"/>
      <c r="V113" s="4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44"/>
      <c r="H114" s="4"/>
      <c r="I114" s="4"/>
      <c r="J114" s="4"/>
      <c r="K114" s="1"/>
      <c r="L114" s="1"/>
      <c r="M114" s="58"/>
      <c r="N114" s="1"/>
      <c r="O114" s="1"/>
      <c r="P114" s="1"/>
      <c r="Q114" s="1"/>
      <c r="R114" s="1"/>
      <c r="S114" s="1"/>
      <c r="T114" s="4"/>
      <c r="U114" s="4"/>
      <c r="V114" s="4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44"/>
      <c r="H115" s="4"/>
      <c r="I115" s="4"/>
      <c r="J115" s="4"/>
      <c r="K115" s="1"/>
      <c r="L115" s="1"/>
      <c r="M115" s="58"/>
      <c r="N115" s="1"/>
      <c r="O115" s="1"/>
      <c r="P115" s="1"/>
      <c r="Q115" s="1"/>
      <c r="R115" s="1"/>
      <c r="S115" s="1"/>
      <c r="T115" s="4"/>
      <c r="U115" s="4"/>
      <c r="V115" s="4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44"/>
      <c r="H116" s="4"/>
      <c r="I116" s="4"/>
      <c r="J116" s="4"/>
      <c r="K116" s="1"/>
      <c r="L116" s="1"/>
      <c r="M116" s="58"/>
      <c r="N116" s="1"/>
      <c r="O116" s="1"/>
      <c r="P116" s="1"/>
      <c r="Q116" s="1"/>
      <c r="R116" s="1"/>
      <c r="S116" s="1"/>
      <c r="T116" s="4"/>
      <c r="U116" s="4"/>
      <c r="V116" s="4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44"/>
      <c r="H117" s="4"/>
      <c r="I117" s="4"/>
      <c r="J117" s="4"/>
      <c r="K117" s="1"/>
      <c r="L117" s="1"/>
      <c r="M117" s="58"/>
      <c r="N117" s="1"/>
      <c r="O117" s="1"/>
      <c r="P117" s="1"/>
      <c r="Q117" s="1"/>
      <c r="R117" s="1"/>
      <c r="S117" s="1"/>
      <c r="T117" s="4"/>
      <c r="U117" s="4"/>
      <c r="V117" s="4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44"/>
      <c r="H118" s="4"/>
      <c r="I118" s="4"/>
      <c r="J118" s="4"/>
      <c r="K118" s="1"/>
      <c r="L118" s="1"/>
      <c r="M118" s="58"/>
      <c r="N118" s="1"/>
      <c r="O118" s="1"/>
      <c r="P118" s="1"/>
      <c r="Q118" s="1"/>
      <c r="R118" s="1"/>
      <c r="S118" s="1"/>
      <c r="T118" s="4"/>
      <c r="U118" s="4"/>
      <c r="V118" s="4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44"/>
      <c r="H119" s="4"/>
      <c r="I119" s="4"/>
      <c r="J119" s="4"/>
      <c r="K119" s="1"/>
      <c r="L119" s="1"/>
      <c r="M119" s="58"/>
      <c r="N119" s="1"/>
      <c r="O119" s="1"/>
      <c r="P119" s="1"/>
      <c r="Q119" s="1"/>
      <c r="R119" s="1"/>
      <c r="S119" s="1"/>
      <c r="T119" s="4"/>
      <c r="U119" s="4"/>
      <c r="V119" s="4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44"/>
      <c r="H120" s="4"/>
      <c r="I120" s="4"/>
      <c r="J120" s="4"/>
      <c r="K120" s="1"/>
      <c r="L120" s="1"/>
      <c r="M120" s="58"/>
      <c r="N120" s="1"/>
      <c r="O120" s="1"/>
      <c r="P120" s="1"/>
      <c r="Q120" s="1"/>
      <c r="R120" s="1"/>
      <c r="S120" s="1"/>
      <c r="T120" s="4"/>
      <c r="U120" s="4"/>
      <c r="V120" s="4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44"/>
      <c r="H121" s="4"/>
      <c r="I121" s="4"/>
      <c r="J121" s="4"/>
      <c r="K121" s="1"/>
      <c r="L121" s="1"/>
      <c r="M121" s="58"/>
      <c r="N121" s="1"/>
      <c r="O121" s="1"/>
      <c r="P121" s="1"/>
      <c r="Q121" s="1"/>
      <c r="R121" s="1"/>
      <c r="S121" s="1"/>
      <c r="T121" s="4"/>
      <c r="U121" s="4"/>
      <c r="V121" s="4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44"/>
      <c r="H122" s="4"/>
      <c r="I122" s="4"/>
      <c r="J122" s="4"/>
      <c r="K122" s="1"/>
      <c r="L122" s="1"/>
      <c r="M122" s="58"/>
      <c r="N122" s="1"/>
      <c r="O122" s="1"/>
      <c r="P122" s="1"/>
      <c r="Q122" s="1"/>
      <c r="R122" s="1"/>
      <c r="S122" s="1"/>
      <c r="T122" s="4"/>
      <c r="U122" s="4"/>
      <c r="V122" s="4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4"/>
      <c r="K123" s="1"/>
      <c r="L123" s="1"/>
      <c r="M123" s="58"/>
      <c r="N123" s="1"/>
      <c r="O123" s="1"/>
      <c r="P123" s="1"/>
      <c r="Q123" s="1"/>
      <c r="R123" s="1"/>
      <c r="S123" s="1"/>
      <c r="T123" s="4"/>
      <c r="U123" s="4"/>
      <c r="V123" s="4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346"/>
      <c r="H124" s="347"/>
      <c r="I124" s="347"/>
      <c r="J124" s="348"/>
      <c r="K124" s="1"/>
      <c r="L124" s="1"/>
      <c r="M124" s="58"/>
      <c r="N124" s="1"/>
      <c r="O124" s="1"/>
      <c r="P124" s="1"/>
      <c r="Q124" s="1"/>
      <c r="R124" s="1"/>
      <c r="S124" s="1"/>
      <c r="T124" s="4"/>
      <c r="U124" s="4"/>
      <c r="V124" s="4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356"/>
      <c r="H125" s="356"/>
      <c r="I125" s="356"/>
      <c r="J125" s="356"/>
      <c r="K125" s="1"/>
      <c r="L125" s="1"/>
      <c r="M125" s="58"/>
      <c r="N125" s="1"/>
      <c r="O125" s="1"/>
      <c r="P125" s="1"/>
      <c r="Q125" s="1"/>
      <c r="R125" s="1"/>
      <c r="S125" s="1"/>
      <c r="T125" s="4"/>
      <c r="U125" s="4"/>
      <c r="V125" s="4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4"/>
      <c r="K126" s="1"/>
      <c r="L126" s="1"/>
      <c r="M126" s="58"/>
      <c r="N126" s="1"/>
      <c r="O126" s="1"/>
      <c r="P126" s="1"/>
      <c r="Q126" s="1"/>
      <c r="R126" s="1"/>
      <c r="S126" s="1"/>
      <c r="T126" s="4"/>
      <c r="U126" s="4"/>
      <c r="V126" s="4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4"/>
      <c r="K127" s="1"/>
      <c r="L127" s="1"/>
      <c r="M127" s="58"/>
      <c r="N127" s="1"/>
      <c r="O127" s="1"/>
      <c r="P127" s="1"/>
      <c r="Q127" s="1"/>
      <c r="R127" s="1"/>
      <c r="S127" s="1"/>
      <c r="T127" s="4"/>
      <c r="U127" s="4"/>
      <c r="V127" s="4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4"/>
      <c r="K128" s="1"/>
      <c r="L128" s="1"/>
      <c r="M128" s="58"/>
      <c r="N128" s="1"/>
      <c r="O128" s="1"/>
      <c r="P128" s="1"/>
      <c r="Q128" s="1"/>
      <c r="R128" s="1"/>
      <c r="S128" s="1"/>
      <c r="T128" s="4"/>
      <c r="U128" s="4"/>
      <c r="V128" s="4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4"/>
      <c r="K129" s="1"/>
      <c r="L129" s="1"/>
      <c r="M129" s="58"/>
      <c r="N129" s="1"/>
      <c r="O129" s="1"/>
      <c r="P129" s="1"/>
      <c r="Q129" s="1"/>
      <c r="R129" s="1"/>
      <c r="S129" s="1"/>
      <c r="T129" s="4"/>
      <c r="U129" s="4"/>
      <c r="V129" s="4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4"/>
      <c r="K130" s="1"/>
      <c r="L130" s="1"/>
      <c r="M130" s="58"/>
      <c r="N130" s="1"/>
      <c r="O130" s="1"/>
      <c r="P130" s="1"/>
      <c r="Q130" s="1"/>
      <c r="R130" s="1"/>
      <c r="S130" s="1"/>
      <c r="T130" s="4"/>
      <c r="U130" s="4"/>
      <c r="V130" s="4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4"/>
      <c r="K131" s="1"/>
      <c r="L131" s="1"/>
      <c r="M131" s="58"/>
      <c r="N131" s="1"/>
      <c r="O131" s="1"/>
      <c r="P131" s="1"/>
      <c r="Q131" s="1"/>
      <c r="R131" s="1"/>
      <c r="S131" s="1"/>
      <c r="T131" s="4"/>
      <c r="U131" s="4"/>
      <c r="V131" s="4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4"/>
      <c r="K132" s="1"/>
      <c r="L132" s="1"/>
      <c r="M132" s="58"/>
      <c r="N132" s="1"/>
      <c r="O132" s="1"/>
      <c r="P132" s="1"/>
      <c r="Q132" s="1"/>
      <c r="R132" s="1"/>
      <c r="S132" s="1"/>
      <c r="T132" s="4"/>
      <c r="U132" s="4"/>
      <c r="V132" s="4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4"/>
      <c r="K133" s="1"/>
      <c r="L133" s="1"/>
      <c r="M133" s="58"/>
      <c r="N133" s="1"/>
      <c r="O133" s="1"/>
      <c r="P133" s="1"/>
      <c r="Q133" s="1"/>
      <c r="R133" s="1"/>
      <c r="S133" s="1"/>
      <c r="T133" s="4"/>
      <c r="U133" s="4"/>
      <c r="V133" s="4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4"/>
      <c r="K134" s="1"/>
      <c r="L134" s="1"/>
      <c r="M134" s="58"/>
      <c r="N134" s="1"/>
      <c r="O134" s="1"/>
      <c r="P134" s="1"/>
      <c r="Q134" s="1"/>
      <c r="R134" s="1"/>
      <c r="S134" s="1"/>
      <c r="T134" s="4"/>
      <c r="U134" s="4"/>
      <c r="V134" s="4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4"/>
      <c r="K135" s="1"/>
      <c r="L135" s="1"/>
      <c r="M135" s="58"/>
      <c r="N135" s="1"/>
      <c r="O135" s="1"/>
      <c r="P135" s="1"/>
      <c r="Q135" s="1"/>
      <c r="R135" s="1"/>
      <c r="S135" s="1"/>
      <c r="T135" s="4"/>
      <c r="U135" s="4"/>
      <c r="V135" s="4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4"/>
      <c r="K136" s="1"/>
      <c r="L136" s="1"/>
      <c r="M136" s="58"/>
      <c r="N136" s="1"/>
      <c r="O136" s="1"/>
      <c r="P136" s="1"/>
      <c r="Q136" s="1"/>
      <c r="R136" s="1"/>
      <c r="S136" s="1"/>
      <c r="T136" s="4"/>
      <c r="U136" s="4"/>
      <c r="V136" s="4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4"/>
      <c r="K137" s="1"/>
      <c r="L137" s="1"/>
      <c r="M137" s="58"/>
      <c r="N137" s="1"/>
      <c r="O137" s="1"/>
      <c r="P137" s="1"/>
      <c r="Q137" s="1"/>
      <c r="R137" s="1"/>
      <c r="S137" s="1"/>
      <c r="T137" s="4"/>
      <c r="U137" s="4"/>
      <c r="V137" s="4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4"/>
      <c r="K138" s="1"/>
      <c r="L138" s="1"/>
      <c r="M138" s="58"/>
      <c r="N138" s="1"/>
      <c r="O138" s="1"/>
      <c r="P138" s="1"/>
      <c r="Q138" s="1"/>
      <c r="R138" s="1"/>
      <c r="S138" s="1"/>
      <c r="T138" s="4"/>
      <c r="U138" s="4"/>
      <c r="V138" s="4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4"/>
      <c r="K139" s="1"/>
      <c r="L139" s="1"/>
      <c r="M139" s="58"/>
      <c r="N139" s="1"/>
      <c r="O139" s="1"/>
      <c r="P139" s="1"/>
      <c r="Q139" s="1"/>
      <c r="R139" s="1"/>
      <c r="S139" s="1"/>
      <c r="T139" s="4"/>
      <c r="U139" s="4"/>
      <c r="V139" s="4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4"/>
      <c r="K140" s="1"/>
      <c r="L140" s="1"/>
      <c r="M140" s="58"/>
      <c r="N140" s="1"/>
      <c r="O140" s="1"/>
      <c r="P140" s="1"/>
      <c r="Q140" s="1"/>
      <c r="R140" s="1"/>
      <c r="S140" s="1"/>
      <c r="T140" s="4"/>
      <c r="U140" s="4"/>
      <c r="V140" s="4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4"/>
      <c r="K141" s="1"/>
      <c r="L141" s="1"/>
      <c r="M141" s="58"/>
      <c r="N141" s="1"/>
      <c r="O141" s="1"/>
      <c r="P141" s="1"/>
      <c r="Q141" s="1"/>
      <c r="R141" s="1"/>
      <c r="S141" s="1"/>
      <c r="T141" s="4"/>
      <c r="U141" s="4"/>
      <c r="V141" s="4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4"/>
      <c r="K142" s="1"/>
      <c r="L142" s="1"/>
      <c r="M142" s="58"/>
      <c r="N142" s="1"/>
      <c r="O142" s="1"/>
      <c r="P142" s="1"/>
      <c r="Q142" s="1"/>
      <c r="R142" s="1"/>
      <c r="S142" s="1"/>
      <c r="T142" s="4"/>
      <c r="U142" s="4"/>
      <c r="V142" s="4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4"/>
      <c r="K143" s="1"/>
      <c r="L143" s="1"/>
      <c r="M143" s="58"/>
      <c r="N143" s="1"/>
      <c r="O143" s="1"/>
      <c r="P143" s="1"/>
      <c r="Q143" s="1"/>
      <c r="R143" s="1"/>
      <c r="S143" s="1"/>
      <c r="T143" s="4"/>
      <c r="U143" s="4"/>
      <c r="V143" s="4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4"/>
      <c r="K144" s="1"/>
      <c r="L144" s="1"/>
      <c r="M144" s="58"/>
      <c r="N144" s="1"/>
      <c r="O144" s="1"/>
      <c r="P144" s="1"/>
      <c r="Q144" s="1"/>
      <c r="R144" s="1"/>
      <c r="S144" s="1"/>
      <c r="T144" s="4"/>
      <c r="U144" s="4"/>
      <c r="V144" s="4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4"/>
      <c r="K145" s="1"/>
      <c r="L145" s="1"/>
      <c r="M145" s="58"/>
      <c r="N145" s="1"/>
      <c r="O145" s="1"/>
      <c r="P145" s="1"/>
      <c r="Q145" s="1"/>
      <c r="R145" s="1"/>
      <c r="S145" s="1"/>
      <c r="T145" s="4"/>
      <c r="U145" s="4"/>
      <c r="V145" s="4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4"/>
      <c r="K146" s="1"/>
      <c r="L146" s="1"/>
      <c r="M146" s="58"/>
      <c r="N146" s="1"/>
      <c r="O146" s="1"/>
      <c r="P146" s="1"/>
      <c r="Q146" s="1"/>
      <c r="R146" s="1"/>
      <c r="S146" s="1"/>
      <c r="T146" s="4"/>
      <c r="U146" s="4"/>
      <c r="V146" s="4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4"/>
      <c r="K147" s="1"/>
      <c r="L147" s="1"/>
      <c r="M147" s="58"/>
      <c r="N147" s="1"/>
      <c r="O147" s="1"/>
      <c r="P147" s="1"/>
      <c r="Q147" s="1"/>
      <c r="R147" s="1"/>
      <c r="S147" s="1"/>
      <c r="T147" s="4"/>
      <c r="U147" s="4"/>
      <c r="V147" s="4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4"/>
      <c r="K148" s="1"/>
      <c r="L148" s="1"/>
      <c r="M148" s="58"/>
      <c r="N148" s="1"/>
      <c r="O148" s="1"/>
      <c r="P148" s="1"/>
      <c r="Q148" s="1"/>
      <c r="R148" s="1"/>
      <c r="S148" s="1"/>
      <c r="T148" s="4"/>
      <c r="U148" s="4"/>
      <c r="V148" s="4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4"/>
      <c r="K149" s="1"/>
      <c r="L149" s="1"/>
      <c r="M149" s="58"/>
      <c r="N149" s="1"/>
      <c r="O149" s="1"/>
      <c r="P149" s="1"/>
      <c r="Q149" s="1"/>
      <c r="R149" s="1"/>
      <c r="S149" s="1"/>
      <c r="T149" s="4"/>
      <c r="U149" s="4"/>
      <c r="V149" s="4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4"/>
      <c r="K150" s="1"/>
      <c r="L150" s="1"/>
      <c r="M150" s="58"/>
      <c r="N150" s="1"/>
      <c r="O150" s="1"/>
      <c r="P150" s="1"/>
      <c r="Q150" s="1"/>
      <c r="R150" s="1"/>
      <c r="S150" s="1"/>
      <c r="T150" s="4"/>
      <c r="U150" s="4"/>
      <c r="V150" s="4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4"/>
      <c r="K151" s="1"/>
      <c r="L151" s="1"/>
      <c r="M151" s="58"/>
      <c r="N151" s="1"/>
      <c r="O151" s="1"/>
      <c r="P151" s="1"/>
      <c r="Q151" s="1"/>
      <c r="R151" s="1"/>
      <c r="S151" s="1"/>
      <c r="T151" s="4"/>
      <c r="U151" s="4"/>
      <c r="V151" s="4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4"/>
      <c r="K152" s="1"/>
      <c r="L152" s="1"/>
      <c r="M152" s="58"/>
      <c r="N152" s="1"/>
      <c r="O152" s="1"/>
      <c r="P152" s="1"/>
      <c r="Q152" s="1"/>
      <c r="R152" s="1"/>
      <c r="S152" s="1"/>
      <c r="T152" s="4"/>
      <c r="U152" s="4"/>
      <c r="V152" s="4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4"/>
      <c r="K153" s="1"/>
      <c r="L153" s="1"/>
      <c r="M153" s="58"/>
      <c r="N153" s="1"/>
      <c r="O153" s="1"/>
      <c r="P153" s="1"/>
      <c r="Q153" s="1"/>
      <c r="R153" s="1"/>
      <c r="S153" s="1"/>
      <c r="T153" s="4"/>
      <c r="U153" s="4"/>
      <c r="V153" s="4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4"/>
      <c r="K154" s="1"/>
      <c r="L154" s="1"/>
      <c r="M154" s="58"/>
      <c r="N154" s="1"/>
      <c r="O154" s="1"/>
      <c r="P154" s="1"/>
      <c r="Q154" s="1"/>
      <c r="R154" s="1"/>
      <c r="S154" s="1"/>
      <c r="T154" s="4"/>
      <c r="U154" s="4"/>
      <c r="V154" s="4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4"/>
      <c r="K155" s="1"/>
      <c r="L155" s="1"/>
      <c r="M155" s="58"/>
      <c r="N155" s="1"/>
      <c r="O155" s="1"/>
      <c r="P155" s="1"/>
      <c r="Q155" s="1"/>
      <c r="R155" s="1"/>
      <c r="S155" s="1"/>
      <c r="T155" s="4"/>
      <c r="U155" s="4"/>
      <c r="V155" s="4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4"/>
      <c r="K156" s="1"/>
      <c r="L156" s="1"/>
      <c r="M156" s="58"/>
      <c r="N156" s="1"/>
      <c r="O156" s="1"/>
      <c r="P156" s="1"/>
      <c r="Q156" s="1"/>
      <c r="R156" s="1"/>
      <c r="S156" s="1"/>
      <c r="T156" s="4"/>
      <c r="U156" s="4"/>
      <c r="V156" s="4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4"/>
      <c r="K157" s="1"/>
      <c r="L157" s="1"/>
      <c r="M157" s="58"/>
      <c r="N157" s="1"/>
      <c r="O157" s="1"/>
      <c r="P157" s="1"/>
      <c r="Q157" s="1"/>
      <c r="R157" s="1"/>
      <c r="S157" s="1"/>
      <c r="T157" s="4"/>
      <c r="U157" s="4"/>
      <c r="V157" s="4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4"/>
      <c r="K158" s="1"/>
      <c r="L158" s="1"/>
      <c r="M158" s="58"/>
      <c r="N158" s="1"/>
      <c r="O158" s="1"/>
      <c r="P158" s="1"/>
      <c r="Q158" s="1"/>
      <c r="R158" s="1"/>
      <c r="S158" s="1"/>
      <c r="T158" s="4"/>
      <c r="U158" s="4"/>
      <c r="V158" s="4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4"/>
      <c r="K159" s="1"/>
      <c r="L159" s="1"/>
      <c r="M159" s="58"/>
      <c r="N159" s="1"/>
      <c r="O159" s="1"/>
      <c r="P159" s="1"/>
      <c r="Q159" s="1"/>
      <c r="R159" s="1"/>
      <c r="S159" s="1"/>
      <c r="T159" s="4"/>
      <c r="U159" s="4"/>
      <c r="V159" s="4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4"/>
      <c r="K160" s="1"/>
      <c r="L160" s="1"/>
      <c r="M160" s="58"/>
      <c r="N160" s="1"/>
      <c r="O160" s="1"/>
      <c r="P160" s="1"/>
      <c r="Q160" s="1"/>
      <c r="R160" s="1"/>
      <c r="S160" s="1"/>
      <c r="T160" s="4"/>
      <c r="U160" s="4"/>
      <c r="V160" s="4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4"/>
      <c r="K161" s="1"/>
      <c r="L161" s="1"/>
      <c r="M161" s="58"/>
      <c r="N161" s="1"/>
      <c r="O161" s="1"/>
      <c r="P161" s="1"/>
      <c r="Q161" s="1"/>
      <c r="R161" s="1"/>
      <c r="S161" s="1"/>
      <c r="T161" s="4"/>
      <c r="U161" s="4"/>
      <c r="V161" s="4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4"/>
      <c r="K162" s="1"/>
      <c r="L162" s="1"/>
      <c r="M162" s="58"/>
      <c r="N162" s="1"/>
      <c r="O162" s="1"/>
      <c r="P162" s="1"/>
      <c r="Q162" s="1"/>
      <c r="R162" s="1"/>
      <c r="S162" s="1"/>
      <c r="T162" s="4"/>
      <c r="U162" s="4"/>
      <c r="V162" s="4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4"/>
      <c r="K163" s="1"/>
      <c r="L163" s="1"/>
      <c r="M163" s="58"/>
      <c r="N163" s="1"/>
      <c r="O163" s="1"/>
      <c r="P163" s="1"/>
      <c r="Q163" s="1"/>
      <c r="R163" s="1"/>
      <c r="S163" s="1"/>
      <c r="T163" s="4"/>
      <c r="U163" s="4"/>
      <c r="V163" s="4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4"/>
      <c r="K164" s="1"/>
      <c r="L164" s="1"/>
      <c r="M164" s="58"/>
      <c r="N164" s="1"/>
      <c r="O164" s="1"/>
      <c r="P164" s="1"/>
      <c r="Q164" s="1"/>
      <c r="R164" s="1"/>
      <c r="S164" s="1"/>
      <c r="T164" s="4"/>
      <c r="U164" s="4"/>
      <c r="V164" s="4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4"/>
      <c r="K165" s="1"/>
      <c r="L165" s="1"/>
      <c r="M165" s="58"/>
      <c r="N165" s="1"/>
      <c r="O165" s="1"/>
      <c r="P165" s="1"/>
      <c r="Q165" s="1"/>
      <c r="R165" s="1"/>
      <c r="S165" s="1"/>
      <c r="T165" s="4"/>
      <c r="U165" s="4"/>
      <c r="V165" s="4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4"/>
      <c r="K166" s="1"/>
      <c r="L166" s="1"/>
      <c r="M166" s="58"/>
      <c r="N166" s="1"/>
      <c r="O166" s="1"/>
      <c r="P166" s="1"/>
      <c r="Q166" s="1"/>
      <c r="R166" s="1"/>
      <c r="S166" s="1"/>
      <c r="T166" s="4"/>
      <c r="U166" s="4"/>
      <c r="V166" s="4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4"/>
      <c r="K167" s="1"/>
      <c r="L167" s="1"/>
      <c r="M167" s="58"/>
      <c r="N167" s="1"/>
      <c r="O167" s="1"/>
      <c r="P167" s="1"/>
      <c r="Q167" s="1"/>
      <c r="R167" s="1"/>
      <c r="S167" s="1"/>
      <c r="T167" s="4"/>
      <c r="U167" s="4"/>
      <c r="V167" s="4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4"/>
      <c r="K168" s="1"/>
      <c r="L168" s="1"/>
      <c r="M168" s="58"/>
      <c r="N168" s="1"/>
      <c r="O168" s="1"/>
      <c r="P168" s="1"/>
      <c r="Q168" s="1"/>
      <c r="R168" s="1"/>
      <c r="S168" s="1"/>
      <c r="T168" s="4"/>
      <c r="U168" s="4"/>
      <c r="V168" s="4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4"/>
      <c r="K169" s="1"/>
      <c r="L169" s="1"/>
      <c r="M169" s="58"/>
      <c r="N169" s="1"/>
      <c r="O169" s="1"/>
      <c r="P169" s="1"/>
      <c r="Q169" s="1"/>
      <c r="R169" s="1"/>
      <c r="S169" s="1"/>
      <c r="T169" s="4"/>
      <c r="U169" s="4"/>
      <c r="V169" s="4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4"/>
      <c r="K170" s="1"/>
      <c r="L170" s="1"/>
      <c r="M170" s="58"/>
      <c r="N170" s="1"/>
      <c r="O170" s="1"/>
      <c r="P170" s="1"/>
      <c r="Q170" s="1"/>
      <c r="R170" s="1"/>
      <c r="S170" s="1"/>
      <c r="T170" s="4"/>
      <c r="U170" s="4"/>
      <c r="V170" s="4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4"/>
      <c r="K171" s="1"/>
      <c r="L171" s="1"/>
      <c r="M171" s="58"/>
      <c r="N171" s="1"/>
      <c r="O171" s="1"/>
      <c r="P171" s="1"/>
      <c r="Q171" s="1"/>
      <c r="R171" s="1"/>
      <c r="S171" s="1"/>
      <c r="T171" s="4"/>
      <c r="U171" s="4"/>
      <c r="V171" s="4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4"/>
      <c r="K172" s="1"/>
      <c r="L172" s="1"/>
      <c r="M172" s="58"/>
      <c r="N172" s="1"/>
      <c r="O172" s="1"/>
      <c r="P172" s="1"/>
      <c r="Q172" s="1"/>
      <c r="R172" s="1"/>
      <c r="S172" s="1"/>
      <c r="T172" s="4"/>
      <c r="U172" s="4"/>
      <c r="V172" s="4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4"/>
      <c r="K173" s="1"/>
      <c r="L173" s="1"/>
      <c r="M173" s="58"/>
      <c r="N173" s="1"/>
      <c r="O173" s="1"/>
      <c r="P173" s="1"/>
      <c r="Q173" s="1"/>
      <c r="R173" s="1"/>
      <c r="S173" s="1"/>
      <c r="T173" s="4"/>
      <c r="U173" s="4"/>
      <c r="V173" s="4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4"/>
      <c r="K174" s="1"/>
      <c r="L174" s="1"/>
      <c r="M174" s="58"/>
      <c r="N174" s="1"/>
      <c r="O174" s="1"/>
      <c r="P174" s="1"/>
      <c r="Q174" s="1"/>
      <c r="R174" s="1"/>
      <c r="S174" s="1"/>
      <c r="T174" s="4"/>
      <c r="U174" s="4"/>
      <c r="V174" s="4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4"/>
      <c r="K175" s="1"/>
      <c r="L175" s="1"/>
      <c r="M175" s="58"/>
      <c r="N175" s="1"/>
      <c r="O175" s="1"/>
      <c r="P175" s="1"/>
      <c r="Q175" s="1"/>
      <c r="R175" s="1"/>
      <c r="S175" s="1"/>
      <c r="T175" s="4"/>
      <c r="U175" s="4"/>
      <c r="V175" s="4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4"/>
      <c r="K176" s="1"/>
      <c r="L176" s="1"/>
      <c r="M176" s="58"/>
      <c r="N176" s="1"/>
      <c r="O176" s="1"/>
      <c r="P176" s="1"/>
      <c r="Q176" s="1"/>
      <c r="R176" s="1"/>
      <c r="S176" s="1"/>
      <c r="T176" s="4"/>
      <c r="U176" s="4"/>
      <c r="V176" s="4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4"/>
      <c r="K177" s="1"/>
      <c r="L177" s="1"/>
      <c r="M177" s="58"/>
      <c r="N177" s="1"/>
      <c r="O177" s="1"/>
      <c r="P177" s="1"/>
      <c r="Q177" s="1"/>
      <c r="R177" s="1"/>
      <c r="S177" s="1"/>
      <c r="T177" s="4"/>
      <c r="U177" s="4"/>
      <c r="V177" s="4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4"/>
      <c r="K178" s="1"/>
      <c r="L178" s="1"/>
      <c r="M178" s="58"/>
      <c r="N178" s="1"/>
      <c r="O178" s="1"/>
      <c r="P178" s="1"/>
      <c r="Q178" s="1"/>
      <c r="R178" s="1"/>
      <c r="S178" s="1"/>
      <c r="T178" s="4"/>
      <c r="U178" s="4"/>
      <c r="V178" s="4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4"/>
      <c r="K179" s="1"/>
      <c r="L179" s="1"/>
      <c r="M179" s="58"/>
      <c r="N179" s="1"/>
      <c r="O179" s="1"/>
      <c r="P179" s="1"/>
      <c r="Q179" s="1"/>
      <c r="R179" s="1"/>
      <c r="S179" s="1"/>
      <c r="T179" s="4"/>
      <c r="U179" s="4"/>
      <c r="V179" s="4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4"/>
      <c r="K180" s="1"/>
      <c r="L180" s="1"/>
      <c r="M180" s="58"/>
      <c r="N180" s="1"/>
      <c r="O180" s="1"/>
      <c r="P180" s="1"/>
      <c r="Q180" s="1"/>
      <c r="R180" s="1"/>
      <c r="S180" s="1"/>
      <c r="T180" s="4"/>
      <c r="U180" s="4"/>
      <c r="V180" s="4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4"/>
      <c r="K181" s="1"/>
      <c r="L181" s="1"/>
      <c r="M181" s="58"/>
      <c r="N181" s="1"/>
      <c r="O181" s="1"/>
      <c r="P181" s="1"/>
      <c r="Q181" s="1"/>
      <c r="R181" s="1"/>
      <c r="S181" s="1"/>
      <c r="T181" s="4"/>
      <c r="U181" s="4"/>
      <c r="V181" s="4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4"/>
      <c r="K182" s="1"/>
      <c r="L182" s="1"/>
      <c r="M182" s="58"/>
      <c r="N182" s="1"/>
      <c r="O182" s="1"/>
      <c r="P182" s="1"/>
      <c r="Q182" s="1"/>
      <c r="R182" s="1"/>
      <c r="S182" s="1"/>
      <c r="T182" s="4"/>
      <c r="U182" s="4"/>
      <c r="V182" s="4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4"/>
      <c r="K183" s="1"/>
      <c r="L183" s="1"/>
      <c r="M183" s="58"/>
      <c r="N183" s="1"/>
      <c r="O183" s="1"/>
      <c r="P183" s="1"/>
      <c r="Q183" s="1"/>
      <c r="R183" s="1"/>
      <c r="S183" s="1"/>
      <c r="T183" s="4"/>
      <c r="U183" s="4"/>
      <c r="V183" s="4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4"/>
      <c r="K184" s="1"/>
      <c r="L184" s="1"/>
      <c r="M184" s="58"/>
      <c r="N184" s="1"/>
      <c r="O184" s="1"/>
      <c r="P184" s="1"/>
      <c r="Q184" s="1"/>
      <c r="R184" s="1"/>
      <c r="S184" s="1"/>
      <c r="T184" s="4"/>
      <c r="U184" s="4"/>
      <c r="V184" s="4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4"/>
      <c r="K185" s="1"/>
      <c r="L185" s="1"/>
      <c r="M185" s="58"/>
      <c r="N185" s="1"/>
      <c r="O185" s="1"/>
      <c r="P185" s="1"/>
      <c r="Q185" s="1"/>
      <c r="R185" s="1"/>
      <c r="S185" s="1"/>
      <c r="T185" s="4"/>
      <c r="U185" s="4"/>
      <c r="V185" s="4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4"/>
      <c r="K186" s="1"/>
      <c r="L186" s="1"/>
      <c r="M186" s="58"/>
      <c r="N186" s="1"/>
      <c r="O186" s="1"/>
      <c r="P186" s="1"/>
      <c r="Q186" s="1"/>
      <c r="R186" s="1"/>
      <c r="S186" s="1"/>
      <c r="T186" s="4"/>
      <c r="U186" s="4"/>
      <c r="V186" s="4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4"/>
      <c r="K187" s="1"/>
      <c r="L187" s="1"/>
      <c r="M187" s="58"/>
      <c r="N187" s="1"/>
      <c r="O187" s="1"/>
      <c r="P187" s="1"/>
      <c r="Q187" s="1"/>
      <c r="R187" s="1"/>
      <c r="S187" s="1"/>
      <c r="T187" s="4"/>
      <c r="U187" s="4"/>
      <c r="V187" s="4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4"/>
      <c r="K188" s="1"/>
      <c r="L188" s="1"/>
      <c r="M188" s="58"/>
      <c r="N188" s="1"/>
      <c r="O188" s="1"/>
      <c r="P188" s="1"/>
      <c r="Q188" s="1"/>
      <c r="R188" s="1"/>
      <c r="S188" s="1"/>
      <c r="T188" s="4"/>
      <c r="U188" s="4"/>
      <c r="V188" s="4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4"/>
      <c r="K189" s="1"/>
      <c r="L189" s="1"/>
      <c r="M189" s="58"/>
      <c r="N189" s="1"/>
      <c r="O189" s="1"/>
      <c r="P189" s="1"/>
      <c r="Q189" s="1"/>
      <c r="R189" s="1"/>
      <c r="S189" s="1"/>
      <c r="T189" s="4"/>
      <c r="U189" s="4"/>
      <c r="V189" s="4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4"/>
      <c r="K190" s="1"/>
      <c r="L190" s="1"/>
      <c r="M190" s="58"/>
      <c r="N190" s="1"/>
      <c r="O190" s="1"/>
      <c r="P190" s="1"/>
      <c r="Q190" s="1"/>
      <c r="R190" s="1"/>
      <c r="S190" s="1"/>
      <c r="T190" s="4"/>
      <c r="U190" s="4"/>
      <c r="V190" s="4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4"/>
      <c r="K191" s="1"/>
      <c r="L191" s="1"/>
      <c r="M191" s="58"/>
      <c r="N191" s="1"/>
      <c r="O191" s="1"/>
      <c r="P191" s="1"/>
      <c r="Q191" s="1"/>
      <c r="R191" s="1"/>
      <c r="S191" s="1"/>
      <c r="T191" s="4"/>
      <c r="U191" s="4"/>
      <c r="V191" s="4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4"/>
      <c r="K192" s="1"/>
      <c r="L192" s="1"/>
      <c r="M192" s="58"/>
      <c r="N192" s="1"/>
      <c r="O192" s="1"/>
      <c r="P192" s="1"/>
      <c r="Q192" s="1"/>
      <c r="R192" s="1"/>
      <c r="S192" s="1"/>
      <c r="T192" s="4"/>
      <c r="U192" s="4"/>
      <c r="V192" s="4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4"/>
      <c r="K193" s="1"/>
      <c r="L193" s="1"/>
      <c r="M193" s="58"/>
      <c r="N193" s="1"/>
      <c r="O193" s="1"/>
      <c r="P193" s="1"/>
      <c r="Q193" s="1"/>
      <c r="R193" s="1"/>
      <c r="S193" s="1"/>
      <c r="T193" s="4"/>
      <c r="U193" s="4"/>
      <c r="V193" s="4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4"/>
      <c r="K194" s="1"/>
      <c r="L194" s="1"/>
      <c r="M194" s="58"/>
      <c r="N194" s="1"/>
      <c r="O194" s="1"/>
      <c r="P194" s="1"/>
      <c r="Q194" s="1"/>
      <c r="R194" s="1"/>
      <c r="S194" s="1"/>
      <c r="T194" s="4"/>
      <c r="U194" s="4"/>
      <c r="V194" s="4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4"/>
      <c r="K195" s="1"/>
      <c r="L195" s="1"/>
      <c r="M195" s="58"/>
      <c r="N195" s="1"/>
      <c r="O195" s="1"/>
      <c r="P195" s="1"/>
      <c r="Q195" s="1"/>
      <c r="R195" s="1"/>
      <c r="S195" s="1"/>
      <c r="T195" s="4"/>
      <c r="U195" s="4"/>
      <c r="V195" s="4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4"/>
      <c r="K196" s="1"/>
      <c r="L196" s="1"/>
      <c r="M196" s="58"/>
      <c r="N196" s="1"/>
      <c r="O196" s="1"/>
      <c r="P196" s="1"/>
      <c r="Q196" s="1"/>
      <c r="R196" s="1"/>
      <c r="S196" s="1"/>
      <c r="T196" s="4"/>
      <c r="U196" s="4"/>
      <c r="V196" s="4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4"/>
      <c r="K197" s="1"/>
      <c r="L197" s="1"/>
      <c r="M197" s="58"/>
      <c r="N197" s="1"/>
      <c r="O197" s="1"/>
      <c r="P197" s="1"/>
      <c r="Q197" s="1"/>
      <c r="R197" s="1"/>
      <c r="S197" s="1"/>
      <c r="T197" s="4"/>
      <c r="U197" s="4"/>
      <c r="V197" s="4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4"/>
      <c r="K198" s="1"/>
      <c r="L198" s="1"/>
      <c r="M198" s="58"/>
      <c r="N198" s="1"/>
      <c r="O198" s="1"/>
      <c r="P198" s="1"/>
      <c r="Q198" s="1"/>
      <c r="R198" s="1"/>
      <c r="S198" s="1"/>
      <c r="T198" s="4"/>
      <c r="U198" s="4"/>
      <c r="V198" s="4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4"/>
      <c r="K199" s="1"/>
      <c r="L199" s="1"/>
      <c r="M199" s="58"/>
      <c r="N199" s="1"/>
      <c r="O199" s="1"/>
      <c r="P199" s="1"/>
      <c r="Q199" s="1"/>
      <c r="R199" s="1"/>
      <c r="S199" s="1"/>
      <c r="T199" s="4"/>
      <c r="U199" s="4"/>
      <c r="V199" s="4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4"/>
      <c r="K200" s="1"/>
      <c r="L200" s="1"/>
      <c r="M200" s="58"/>
      <c r="N200" s="1"/>
      <c r="O200" s="1"/>
      <c r="P200" s="1"/>
      <c r="Q200" s="1"/>
      <c r="R200" s="1"/>
      <c r="S200" s="1"/>
      <c r="T200" s="4"/>
      <c r="U200" s="4"/>
      <c r="V200" s="4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4"/>
      <c r="K201" s="1"/>
      <c r="L201" s="1"/>
      <c r="M201" s="58"/>
      <c r="N201" s="1"/>
      <c r="O201" s="1"/>
      <c r="P201" s="1"/>
      <c r="Q201" s="1"/>
      <c r="R201" s="1"/>
      <c r="S201" s="1"/>
      <c r="T201" s="4"/>
      <c r="U201" s="4"/>
      <c r="V201" s="4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4"/>
      <c r="K202" s="1"/>
      <c r="L202" s="1"/>
      <c r="M202" s="58"/>
      <c r="N202" s="1"/>
      <c r="O202" s="1"/>
      <c r="P202" s="1"/>
      <c r="Q202" s="1"/>
      <c r="R202" s="1"/>
      <c r="S202" s="1"/>
      <c r="T202" s="4"/>
      <c r="U202" s="4"/>
      <c r="V202" s="4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4"/>
      <c r="K203" s="1"/>
      <c r="L203" s="1"/>
      <c r="M203" s="58"/>
      <c r="N203" s="1"/>
      <c r="O203" s="1"/>
      <c r="P203" s="1"/>
      <c r="Q203" s="1"/>
      <c r="R203" s="1"/>
      <c r="S203" s="1"/>
      <c r="T203" s="4"/>
      <c r="U203" s="4"/>
      <c r="V203" s="4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4"/>
      <c r="K204" s="1"/>
      <c r="L204" s="1"/>
      <c r="M204" s="58"/>
      <c r="N204" s="1"/>
      <c r="O204" s="1"/>
      <c r="P204" s="1"/>
      <c r="Q204" s="1"/>
      <c r="R204" s="1"/>
      <c r="S204" s="1"/>
      <c r="T204" s="4"/>
      <c r="U204" s="4"/>
      <c r="V204" s="4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4"/>
      <c r="K205" s="1"/>
      <c r="L205" s="1"/>
      <c r="M205" s="58"/>
      <c r="N205" s="1"/>
      <c r="O205" s="1"/>
      <c r="P205" s="1"/>
      <c r="Q205" s="1"/>
      <c r="R205" s="1"/>
      <c r="S205" s="1"/>
      <c r="T205" s="4"/>
      <c r="U205" s="4"/>
      <c r="V205" s="4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4"/>
      <c r="K206" s="1"/>
      <c r="L206" s="1"/>
      <c r="M206" s="58"/>
      <c r="N206" s="1"/>
      <c r="O206" s="1"/>
      <c r="P206" s="1"/>
      <c r="Q206" s="1"/>
      <c r="R206" s="1"/>
      <c r="S206" s="1"/>
      <c r="T206" s="4"/>
      <c r="U206" s="4"/>
      <c r="V206" s="4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4"/>
      <c r="K207" s="1"/>
      <c r="L207" s="1"/>
      <c r="M207" s="58"/>
      <c r="N207" s="1"/>
      <c r="O207" s="1"/>
      <c r="P207" s="1"/>
      <c r="Q207" s="1"/>
      <c r="R207" s="1"/>
      <c r="S207" s="1"/>
      <c r="T207" s="4"/>
      <c r="U207" s="4"/>
      <c r="V207" s="4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4"/>
      <c r="K208" s="1"/>
      <c r="L208" s="1"/>
      <c r="M208" s="58"/>
      <c r="N208" s="1"/>
      <c r="O208" s="1"/>
      <c r="P208" s="1"/>
      <c r="Q208" s="1"/>
      <c r="R208" s="1"/>
      <c r="S208" s="1"/>
      <c r="T208" s="4"/>
      <c r="U208" s="4"/>
      <c r="V208" s="4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4"/>
      <c r="K209" s="1"/>
      <c r="L209" s="1"/>
      <c r="M209" s="58"/>
      <c r="N209" s="1"/>
      <c r="O209" s="1"/>
      <c r="P209" s="1"/>
      <c r="Q209" s="1"/>
      <c r="R209" s="1"/>
      <c r="S209" s="1"/>
      <c r="T209" s="4"/>
      <c r="U209" s="4"/>
      <c r="V209" s="4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4"/>
      <c r="K210" s="1"/>
      <c r="L210" s="1"/>
      <c r="M210" s="58"/>
      <c r="N210" s="1"/>
      <c r="O210" s="1"/>
      <c r="P210" s="1"/>
      <c r="Q210" s="1"/>
      <c r="R210" s="1"/>
      <c r="S210" s="1"/>
      <c r="T210" s="4"/>
      <c r="U210" s="4"/>
      <c r="V210" s="4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4"/>
      <c r="K211" s="1"/>
      <c r="L211" s="1"/>
      <c r="M211" s="58"/>
      <c r="N211" s="1"/>
      <c r="O211" s="1"/>
      <c r="P211" s="1"/>
      <c r="Q211" s="1"/>
      <c r="R211" s="1"/>
      <c r="S211" s="1"/>
      <c r="T211" s="4"/>
      <c r="U211" s="4"/>
      <c r="V211" s="4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4"/>
      <c r="K212" s="1"/>
      <c r="L212" s="1"/>
      <c r="M212" s="58"/>
      <c r="N212" s="1"/>
      <c r="O212" s="1"/>
      <c r="P212" s="1"/>
      <c r="Q212" s="1"/>
      <c r="R212" s="1"/>
      <c r="S212" s="1"/>
      <c r="T212" s="4"/>
      <c r="U212" s="4"/>
      <c r="V212" s="4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4"/>
      <c r="K213" s="1"/>
      <c r="L213" s="1"/>
      <c r="M213" s="58"/>
      <c r="N213" s="1"/>
      <c r="O213" s="1"/>
      <c r="P213" s="1"/>
      <c r="Q213" s="1"/>
      <c r="R213" s="1"/>
      <c r="S213" s="1"/>
      <c r="T213" s="4"/>
      <c r="U213" s="4"/>
      <c r="V213" s="4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4"/>
      <c r="K214" s="1"/>
      <c r="L214" s="1"/>
      <c r="M214" s="58"/>
      <c r="N214" s="1"/>
      <c r="O214" s="1"/>
      <c r="P214" s="1"/>
      <c r="Q214" s="1"/>
      <c r="R214" s="1"/>
      <c r="S214" s="1"/>
      <c r="T214" s="4"/>
      <c r="U214" s="4"/>
      <c r="V214" s="4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4"/>
      <c r="K215" s="1"/>
      <c r="L215" s="1"/>
      <c r="M215" s="58"/>
      <c r="N215" s="1"/>
      <c r="O215" s="1"/>
      <c r="P215" s="1"/>
      <c r="Q215" s="1"/>
      <c r="R215" s="1"/>
      <c r="S215" s="1"/>
      <c r="T215" s="4"/>
      <c r="U215" s="4"/>
      <c r="V215" s="4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4"/>
      <c r="K216" s="1"/>
      <c r="L216" s="1"/>
      <c r="M216" s="58"/>
      <c r="N216" s="1"/>
      <c r="O216" s="1"/>
      <c r="P216" s="1"/>
      <c r="Q216" s="1"/>
      <c r="R216" s="1"/>
      <c r="S216" s="1"/>
      <c r="T216" s="4"/>
      <c r="U216" s="4"/>
      <c r="V216" s="4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4"/>
      <c r="K217" s="1"/>
      <c r="L217" s="1"/>
      <c r="M217" s="58"/>
      <c r="N217" s="1"/>
      <c r="O217" s="1"/>
      <c r="P217" s="1"/>
      <c r="Q217" s="1"/>
      <c r="R217" s="1"/>
      <c r="S217" s="1"/>
      <c r="T217" s="4"/>
      <c r="U217" s="4"/>
      <c r="V217" s="4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4"/>
      <c r="K218" s="1"/>
      <c r="L218" s="1"/>
      <c r="M218" s="58"/>
      <c r="N218" s="1"/>
      <c r="O218" s="1"/>
      <c r="P218" s="1"/>
      <c r="Q218" s="1"/>
      <c r="R218" s="1"/>
      <c r="S218" s="1"/>
      <c r="T218" s="4"/>
      <c r="U218" s="4"/>
      <c r="V218" s="4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4"/>
      <c r="K219" s="1"/>
      <c r="L219" s="1"/>
      <c r="M219" s="58"/>
      <c r="N219" s="1"/>
      <c r="O219" s="1"/>
      <c r="P219" s="1"/>
      <c r="Q219" s="1"/>
      <c r="R219" s="1"/>
      <c r="S219" s="1"/>
      <c r="T219" s="4"/>
      <c r="U219" s="4"/>
      <c r="V219" s="4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4"/>
      <c r="K220" s="1"/>
      <c r="L220" s="1"/>
      <c r="M220" s="58"/>
      <c r="N220" s="1"/>
      <c r="O220" s="1"/>
      <c r="P220" s="1"/>
      <c r="Q220" s="1"/>
      <c r="R220" s="1"/>
      <c r="S220" s="1"/>
      <c r="T220" s="4"/>
      <c r="U220" s="4"/>
      <c r="V220" s="4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4"/>
      <c r="K221" s="1"/>
      <c r="L221" s="1"/>
      <c r="M221" s="58"/>
      <c r="N221" s="1"/>
      <c r="O221" s="1"/>
      <c r="P221" s="1"/>
      <c r="Q221" s="1"/>
      <c r="R221" s="1"/>
      <c r="S221" s="1"/>
      <c r="T221" s="4"/>
      <c r="U221" s="4"/>
      <c r="V221" s="4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4"/>
      <c r="K222" s="1"/>
      <c r="L222" s="1"/>
      <c r="M222" s="58"/>
      <c r="N222" s="1"/>
      <c r="O222" s="1"/>
      <c r="P222" s="1"/>
      <c r="Q222" s="1"/>
      <c r="R222" s="1"/>
      <c r="S222" s="1"/>
      <c r="T222" s="4"/>
      <c r="U222" s="4"/>
      <c r="V222" s="4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4"/>
      <c r="K223" s="1"/>
      <c r="L223" s="1"/>
      <c r="M223" s="58"/>
      <c r="N223" s="1"/>
      <c r="O223" s="1"/>
      <c r="P223" s="1"/>
      <c r="Q223" s="1"/>
      <c r="R223" s="1"/>
      <c r="S223" s="1"/>
      <c r="T223" s="4"/>
      <c r="U223" s="4"/>
      <c r="V223" s="4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4"/>
      <c r="K224" s="1"/>
      <c r="L224" s="1"/>
      <c r="M224" s="58"/>
      <c r="N224" s="1"/>
      <c r="O224" s="1"/>
      <c r="P224" s="1"/>
      <c r="Q224" s="1"/>
      <c r="R224" s="1"/>
      <c r="S224" s="1"/>
      <c r="T224" s="4"/>
      <c r="U224" s="4"/>
      <c r="V224" s="4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4"/>
      <c r="K225" s="1"/>
      <c r="L225" s="1"/>
      <c r="M225" s="58"/>
      <c r="N225" s="1"/>
      <c r="O225" s="1"/>
      <c r="P225" s="1"/>
      <c r="Q225" s="1"/>
      <c r="R225" s="1"/>
      <c r="S225" s="1"/>
      <c r="T225" s="4"/>
      <c r="U225" s="4"/>
      <c r="V225" s="4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4"/>
      <c r="K226" s="1"/>
      <c r="L226" s="1"/>
      <c r="M226" s="58"/>
      <c r="N226" s="1"/>
      <c r="O226" s="1"/>
      <c r="P226" s="1"/>
      <c r="Q226" s="1"/>
      <c r="R226" s="1"/>
      <c r="S226" s="1"/>
      <c r="T226" s="4"/>
      <c r="U226" s="4"/>
      <c r="V226" s="4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4"/>
      <c r="K227" s="1"/>
      <c r="L227" s="1"/>
      <c r="M227" s="58"/>
      <c r="N227" s="1"/>
      <c r="O227" s="1"/>
      <c r="P227" s="1"/>
      <c r="Q227" s="1"/>
      <c r="R227" s="1"/>
      <c r="S227" s="1"/>
      <c r="T227" s="4"/>
      <c r="U227" s="4"/>
      <c r="V227" s="4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4"/>
      <c r="K228" s="1"/>
      <c r="L228" s="1"/>
      <c r="M228" s="58"/>
      <c r="N228" s="1"/>
      <c r="O228" s="1"/>
      <c r="P228" s="1"/>
      <c r="Q228" s="1"/>
      <c r="R228" s="1"/>
      <c r="S228" s="1"/>
      <c r="T228" s="4"/>
      <c r="U228" s="4"/>
      <c r="V228" s="4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4"/>
      <c r="K229" s="1"/>
      <c r="L229" s="1"/>
      <c r="M229" s="58"/>
      <c r="N229" s="1"/>
      <c r="O229" s="1"/>
      <c r="P229" s="1"/>
      <c r="Q229" s="1"/>
      <c r="R229" s="1"/>
      <c r="S229" s="1"/>
      <c r="T229" s="4"/>
      <c r="U229" s="4"/>
      <c r="V229" s="4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4"/>
      <c r="K230" s="1"/>
      <c r="L230" s="1"/>
      <c r="M230" s="58"/>
      <c r="N230" s="1"/>
      <c r="O230" s="1"/>
      <c r="P230" s="1"/>
      <c r="Q230" s="1"/>
      <c r="R230" s="1"/>
      <c r="S230" s="1"/>
      <c r="T230" s="4"/>
      <c r="U230" s="4"/>
      <c r="V230" s="4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4"/>
      <c r="K231" s="1"/>
      <c r="L231" s="1"/>
      <c r="M231" s="58"/>
      <c r="N231" s="1"/>
      <c r="O231" s="1"/>
      <c r="P231" s="1"/>
      <c r="Q231" s="1"/>
      <c r="R231" s="1"/>
      <c r="S231" s="1"/>
      <c r="T231" s="4"/>
      <c r="U231" s="4"/>
      <c r="V231" s="4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4"/>
      <c r="K232" s="1"/>
      <c r="L232" s="1"/>
      <c r="M232" s="58"/>
      <c r="N232" s="1"/>
      <c r="O232" s="1"/>
      <c r="P232" s="1"/>
      <c r="Q232" s="1"/>
      <c r="R232" s="1"/>
      <c r="S232" s="1"/>
      <c r="T232" s="4"/>
      <c r="U232" s="4"/>
      <c r="V232" s="4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4"/>
      <c r="K233" s="1"/>
      <c r="L233" s="1"/>
      <c r="M233" s="58"/>
      <c r="N233" s="1"/>
      <c r="O233" s="1"/>
      <c r="P233" s="1"/>
      <c r="Q233" s="1"/>
      <c r="R233" s="1"/>
      <c r="S233" s="1"/>
      <c r="T233" s="4"/>
      <c r="U233" s="4"/>
      <c r="V233" s="4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4"/>
      <c r="K234" s="1"/>
      <c r="L234" s="1"/>
      <c r="M234" s="58"/>
      <c r="N234" s="1"/>
      <c r="O234" s="1"/>
      <c r="P234" s="1"/>
      <c r="Q234" s="1"/>
      <c r="R234" s="1"/>
      <c r="S234" s="1"/>
      <c r="T234" s="4"/>
      <c r="U234" s="4"/>
      <c r="V234" s="4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58"/>
      <c r="N235" s="1"/>
      <c r="O235" s="1"/>
      <c r="P235" s="1"/>
      <c r="Q235" s="1"/>
      <c r="R235" s="1"/>
      <c r="S235" s="1"/>
      <c r="T235" s="4"/>
      <c r="U235" s="4"/>
      <c r="V235" s="4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58"/>
      <c r="N236" s="1"/>
      <c r="O236" s="1"/>
      <c r="P236" s="1"/>
      <c r="Q236" s="1"/>
      <c r="R236" s="1"/>
      <c r="S236" s="1"/>
      <c r="T236" s="4"/>
      <c r="U236" s="4"/>
      <c r="V236" s="4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58"/>
      <c r="N237" s="1"/>
      <c r="O237" s="1"/>
      <c r="P237" s="1"/>
      <c r="Q237" s="1"/>
      <c r="R237" s="1"/>
      <c r="S237" s="1"/>
      <c r="T237" s="4"/>
      <c r="U237" s="4"/>
      <c r="V237" s="4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58"/>
      <c r="N238" s="1"/>
      <c r="O238" s="1"/>
      <c r="P238" s="1"/>
      <c r="Q238" s="1"/>
      <c r="R238" s="1"/>
      <c r="S238" s="1"/>
      <c r="T238" s="4"/>
      <c r="U238" s="4"/>
      <c r="V238" s="4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58"/>
      <c r="N239" s="1"/>
      <c r="O239" s="1"/>
      <c r="P239" s="1"/>
      <c r="Q239" s="1"/>
      <c r="R239" s="1"/>
      <c r="S239" s="1"/>
      <c r="T239" s="4"/>
      <c r="U239" s="4"/>
      <c r="V239" s="4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58"/>
      <c r="N240" s="1"/>
      <c r="O240" s="1"/>
      <c r="P240" s="1"/>
      <c r="Q240" s="1"/>
      <c r="R240" s="1"/>
      <c r="S240" s="1"/>
      <c r="T240" s="4"/>
      <c r="U240" s="4"/>
      <c r="V240" s="4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58"/>
      <c r="N241" s="1"/>
      <c r="O241" s="1"/>
      <c r="P241" s="1"/>
      <c r="Q241" s="1"/>
      <c r="R241" s="1"/>
      <c r="S241" s="1"/>
      <c r="T241" s="4"/>
      <c r="U241" s="4"/>
      <c r="V241" s="4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58"/>
      <c r="N242" s="1"/>
      <c r="O242" s="1"/>
      <c r="P242" s="1"/>
      <c r="Q242" s="1"/>
      <c r="R242" s="1"/>
      <c r="S242" s="1"/>
      <c r="T242" s="4"/>
      <c r="U242" s="4"/>
      <c r="V242" s="4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58"/>
      <c r="N243" s="1"/>
      <c r="O243" s="1"/>
      <c r="P243" s="1"/>
      <c r="Q243" s="1"/>
      <c r="R243" s="1"/>
      <c r="S243" s="1"/>
      <c r="T243" s="4"/>
      <c r="U243" s="4"/>
      <c r="V243" s="4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58"/>
      <c r="N244" s="1"/>
      <c r="O244" s="1"/>
      <c r="P244" s="1"/>
      <c r="Q244" s="1"/>
      <c r="R244" s="1"/>
      <c r="S244" s="1"/>
      <c r="T244" s="4"/>
      <c r="U244" s="4"/>
      <c r="V244" s="4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58"/>
      <c r="N245" s="1"/>
      <c r="O245" s="1"/>
      <c r="P245" s="1"/>
      <c r="Q245" s="1"/>
      <c r="R245" s="1"/>
      <c r="S245" s="1"/>
      <c r="T245" s="4"/>
      <c r="U245" s="4"/>
      <c r="V245" s="4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58"/>
      <c r="N246" s="1"/>
      <c r="O246" s="1"/>
      <c r="P246" s="1"/>
      <c r="Q246" s="1"/>
      <c r="R246" s="1"/>
      <c r="S246" s="1"/>
      <c r="T246" s="4"/>
      <c r="U246" s="4"/>
      <c r="V246" s="4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58"/>
      <c r="N247" s="1"/>
      <c r="O247" s="1"/>
      <c r="P247" s="1"/>
      <c r="Q247" s="1"/>
      <c r="R247" s="1"/>
      <c r="S247" s="1"/>
      <c r="T247" s="4"/>
      <c r="U247" s="4"/>
      <c r="V247" s="4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58"/>
      <c r="N248" s="1"/>
      <c r="O248" s="1"/>
      <c r="P248" s="1"/>
      <c r="Q248" s="1"/>
      <c r="R248" s="1"/>
      <c r="S248" s="1"/>
      <c r="T248" s="4"/>
      <c r="U248" s="4"/>
      <c r="V248" s="4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58"/>
      <c r="N249" s="1"/>
      <c r="O249" s="1"/>
      <c r="P249" s="1"/>
      <c r="Q249" s="1"/>
      <c r="R249" s="1"/>
      <c r="S249" s="1"/>
      <c r="T249" s="4"/>
      <c r="U249" s="4"/>
      <c r="V249" s="4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58"/>
      <c r="N250" s="1"/>
      <c r="O250" s="1"/>
      <c r="P250" s="1"/>
      <c r="Q250" s="1"/>
      <c r="R250" s="1"/>
      <c r="S250" s="1"/>
      <c r="T250" s="4"/>
      <c r="U250" s="4"/>
      <c r="V250" s="4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58"/>
      <c r="N251" s="1"/>
      <c r="O251" s="1"/>
      <c r="P251" s="1"/>
      <c r="Q251" s="1"/>
      <c r="R251" s="1"/>
      <c r="S251" s="1"/>
      <c r="T251" s="4"/>
      <c r="U251" s="4"/>
      <c r="V251" s="4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58"/>
      <c r="N252" s="1"/>
      <c r="O252" s="1"/>
      <c r="P252" s="1"/>
      <c r="Q252" s="1"/>
      <c r="R252" s="1"/>
      <c r="S252" s="1"/>
      <c r="T252" s="4"/>
      <c r="U252" s="4"/>
      <c r="V252" s="4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58"/>
      <c r="N253" s="1"/>
      <c r="O253" s="1"/>
      <c r="P253" s="1"/>
      <c r="Q253" s="1"/>
      <c r="R253" s="1"/>
      <c r="S253" s="1"/>
      <c r="T253" s="4"/>
      <c r="U253" s="4"/>
      <c r="V253" s="4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58"/>
      <c r="N254" s="1"/>
      <c r="O254" s="1"/>
      <c r="P254" s="1"/>
      <c r="Q254" s="1"/>
      <c r="R254" s="1"/>
      <c r="S254" s="1"/>
      <c r="T254" s="4"/>
      <c r="U254" s="4"/>
      <c r="V254" s="4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58"/>
      <c r="N255" s="1"/>
      <c r="O255" s="1"/>
      <c r="P255" s="1"/>
      <c r="Q255" s="1"/>
      <c r="R255" s="1"/>
      <c r="S255" s="1"/>
      <c r="T255" s="4"/>
      <c r="U255" s="4"/>
      <c r="V255" s="4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58"/>
      <c r="N256" s="1"/>
      <c r="O256" s="1"/>
      <c r="P256" s="1"/>
      <c r="Q256" s="1"/>
      <c r="R256" s="1"/>
      <c r="S256" s="1"/>
      <c r="T256" s="4"/>
      <c r="U256" s="4"/>
      <c r="V256" s="4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58"/>
      <c r="N257" s="1"/>
      <c r="O257" s="1"/>
      <c r="P257" s="1"/>
      <c r="Q257" s="1"/>
      <c r="R257" s="1"/>
      <c r="S257" s="1"/>
      <c r="T257" s="4"/>
      <c r="U257" s="4"/>
      <c r="V257" s="4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58"/>
      <c r="N258" s="1"/>
      <c r="O258" s="1"/>
      <c r="P258" s="1"/>
      <c r="Q258" s="1"/>
      <c r="R258" s="1"/>
      <c r="S258" s="1"/>
      <c r="T258" s="4"/>
      <c r="U258" s="4"/>
      <c r="V258" s="4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58"/>
      <c r="N259" s="1"/>
      <c r="O259" s="1"/>
      <c r="P259" s="1"/>
      <c r="Q259" s="1"/>
      <c r="R259" s="1"/>
      <c r="S259" s="1"/>
      <c r="T259" s="4"/>
      <c r="U259" s="4"/>
      <c r="V259" s="4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58"/>
      <c r="N260" s="1"/>
      <c r="O260" s="1"/>
      <c r="P260" s="1"/>
      <c r="Q260" s="1"/>
      <c r="R260" s="1"/>
      <c r="S260" s="1"/>
      <c r="T260" s="4"/>
      <c r="U260" s="4"/>
      <c r="V260" s="4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58"/>
      <c r="N261" s="1"/>
      <c r="O261" s="1"/>
      <c r="P261" s="1"/>
      <c r="Q261" s="1"/>
      <c r="R261" s="1"/>
      <c r="S261" s="1"/>
      <c r="T261" s="4"/>
      <c r="U261" s="4"/>
      <c r="V261" s="4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58"/>
      <c r="N262" s="1"/>
      <c r="O262" s="1"/>
      <c r="P262" s="1"/>
      <c r="Q262" s="1"/>
      <c r="R262" s="1"/>
      <c r="S262" s="1"/>
      <c r="T262" s="4"/>
      <c r="U262" s="4"/>
      <c r="V262" s="4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58"/>
      <c r="N263" s="1"/>
      <c r="O263" s="1"/>
      <c r="P263" s="1"/>
      <c r="Q263" s="1"/>
      <c r="R263" s="1"/>
      <c r="S263" s="1"/>
      <c r="T263" s="4"/>
      <c r="U263" s="4"/>
      <c r="V263" s="4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58"/>
      <c r="N264" s="1"/>
      <c r="O264" s="1"/>
      <c r="P264" s="1"/>
      <c r="Q264" s="1"/>
      <c r="R264" s="1"/>
      <c r="S264" s="1"/>
      <c r="T264" s="4"/>
      <c r="U264" s="4"/>
      <c r="V264" s="4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58"/>
      <c r="N265" s="1"/>
      <c r="O265" s="1"/>
      <c r="P265" s="1"/>
      <c r="Q265" s="1"/>
      <c r="R265" s="1"/>
      <c r="S265" s="1"/>
      <c r="T265" s="4"/>
      <c r="U265" s="4"/>
      <c r="V265" s="4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58"/>
      <c r="N266" s="1"/>
      <c r="O266" s="1"/>
      <c r="P266" s="1"/>
      <c r="Q266" s="1"/>
      <c r="R266" s="1"/>
      <c r="S266" s="1"/>
      <c r="T266" s="4"/>
      <c r="U266" s="4"/>
      <c r="V266" s="4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58"/>
      <c r="N267" s="1"/>
      <c r="O267" s="1"/>
      <c r="P267" s="1"/>
      <c r="Q267" s="1"/>
      <c r="R267" s="1"/>
      <c r="S267" s="1"/>
      <c r="T267" s="4"/>
      <c r="U267" s="4"/>
      <c r="V267" s="4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58"/>
      <c r="N268" s="1"/>
      <c r="O268" s="1"/>
      <c r="P268" s="1"/>
      <c r="Q268" s="1"/>
      <c r="R268" s="1"/>
      <c r="S268" s="1"/>
      <c r="T268" s="4"/>
      <c r="U268" s="4"/>
      <c r="V268" s="4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58"/>
      <c r="N269" s="1"/>
      <c r="O269" s="1"/>
      <c r="P269" s="1"/>
      <c r="Q269" s="1"/>
      <c r="R269" s="1"/>
      <c r="S269" s="1"/>
      <c r="T269" s="4"/>
      <c r="U269" s="4"/>
      <c r="V269" s="4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58"/>
      <c r="N270" s="1"/>
      <c r="O270" s="1"/>
      <c r="P270" s="1"/>
      <c r="Q270" s="1"/>
      <c r="R270" s="1"/>
      <c r="S270" s="1"/>
      <c r="T270" s="4"/>
      <c r="U270" s="4"/>
      <c r="V270" s="4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58"/>
      <c r="N271" s="1"/>
      <c r="O271" s="1"/>
      <c r="P271" s="1"/>
      <c r="Q271" s="1"/>
      <c r="R271" s="1"/>
      <c r="S271" s="1"/>
      <c r="T271" s="4"/>
      <c r="U271" s="4"/>
      <c r="V271" s="4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58"/>
      <c r="N272" s="1"/>
      <c r="O272" s="1"/>
      <c r="P272" s="1"/>
      <c r="Q272" s="1"/>
      <c r="R272" s="1"/>
      <c r="S272" s="1"/>
      <c r="T272" s="4"/>
      <c r="U272" s="4"/>
      <c r="V272" s="4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58"/>
      <c r="N273" s="1"/>
      <c r="O273" s="1"/>
      <c r="P273" s="1"/>
      <c r="Q273" s="1"/>
      <c r="R273" s="1"/>
      <c r="S273" s="1"/>
      <c r="T273" s="4"/>
      <c r="U273" s="4"/>
      <c r="V273" s="4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58"/>
      <c r="N274" s="1"/>
      <c r="O274" s="1"/>
      <c r="P274" s="1"/>
      <c r="Q274" s="1"/>
      <c r="R274" s="1"/>
      <c r="S274" s="1"/>
      <c r="T274" s="4"/>
      <c r="U274" s="4"/>
      <c r="V274" s="4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58"/>
      <c r="N275" s="1"/>
      <c r="O275" s="1"/>
      <c r="P275" s="1"/>
      <c r="Q275" s="1"/>
      <c r="R275" s="1"/>
      <c r="S275" s="1"/>
      <c r="T275" s="4"/>
      <c r="U275" s="4"/>
      <c r="V275" s="4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58"/>
      <c r="N276" s="1"/>
      <c r="O276" s="1"/>
      <c r="P276" s="1"/>
      <c r="Q276" s="1"/>
      <c r="R276" s="1"/>
      <c r="S276" s="1"/>
      <c r="T276" s="4"/>
      <c r="U276" s="4"/>
      <c r="V276" s="4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58"/>
      <c r="N277" s="1"/>
      <c r="O277" s="1"/>
      <c r="P277" s="1"/>
      <c r="Q277" s="1"/>
      <c r="R277" s="1"/>
      <c r="S277" s="1"/>
      <c r="T277" s="4"/>
      <c r="U277" s="4"/>
      <c r="V277" s="4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58"/>
      <c r="N278" s="1"/>
      <c r="O278" s="1"/>
      <c r="P278" s="1"/>
      <c r="Q278" s="1"/>
      <c r="R278" s="1"/>
      <c r="S278" s="1"/>
      <c r="T278" s="4"/>
      <c r="U278" s="4"/>
      <c r="V278" s="4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58"/>
      <c r="N279" s="1"/>
      <c r="O279" s="1"/>
      <c r="P279" s="1"/>
      <c r="Q279" s="1"/>
      <c r="R279" s="1"/>
      <c r="S279" s="1"/>
      <c r="T279" s="4"/>
      <c r="U279" s="4"/>
      <c r="V279" s="4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58"/>
      <c r="N280" s="1"/>
      <c r="O280" s="1"/>
      <c r="P280" s="1"/>
      <c r="Q280" s="1"/>
      <c r="R280" s="1"/>
      <c r="S280" s="1"/>
      <c r="T280" s="4"/>
      <c r="U280" s="4"/>
      <c r="V280" s="4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58"/>
      <c r="N281" s="1"/>
      <c r="O281" s="1"/>
      <c r="P281" s="1"/>
      <c r="Q281" s="1"/>
      <c r="R281" s="1"/>
      <c r="S281" s="1"/>
      <c r="T281" s="4"/>
      <c r="U281" s="4"/>
      <c r="V281" s="4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58"/>
      <c r="N282" s="1"/>
      <c r="O282" s="1"/>
      <c r="P282" s="1"/>
      <c r="Q282" s="1"/>
      <c r="R282" s="1"/>
      <c r="S282" s="1"/>
      <c r="T282" s="4"/>
      <c r="U282" s="4"/>
      <c r="V282" s="4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58"/>
      <c r="N283" s="1"/>
      <c r="O283" s="1"/>
      <c r="P283" s="1"/>
      <c r="Q283" s="1"/>
      <c r="R283" s="1"/>
      <c r="S283" s="1"/>
      <c r="T283" s="4"/>
      <c r="U283" s="4"/>
      <c r="V283" s="4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58"/>
      <c r="N284" s="1"/>
      <c r="O284" s="1"/>
      <c r="P284" s="1"/>
      <c r="Q284" s="1"/>
      <c r="R284" s="1"/>
      <c r="S284" s="1"/>
      <c r="T284" s="4"/>
      <c r="U284" s="4"/>
      <c r="V284" s="4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58"/>
      <c r="N285" s="1"/>
      <c r="O285" s="1"/>
      <c r="P285" s="1"/>
      <c r="Q285" s="1"/>
      <c r="R285" s="1"/>
      <c r="S285" s="1"/>
      <c r="T285" s="4"/>
      <c r="U285" s="4"/>
      <c r="V285" s="4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/>
    <row r="287" spans="1:31" ht="15.75" customHeight="1"/>
    <row r="288" spans="1:31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5">
    <mergeCell ref="G93:H93"/>
    <mergeCell ref="G98:H98"/>
    <mergeCell ref="G124:G125"/>
    <mergeCell ref="H124:H125"/>
    <mergeCell ref="I124:I125"/>
    <mergeCell ref="J124:J125"/>
    <mergeCell ref="M74:N74"/>
    <mergeCell ref="O74:P74"/>
    <mergeCell ref="M75:N75"/>
    <mergeCell ref="M79:N79"/>
    <mergeCell ref="O79:P79"/>
    <mergeCell ref="O75:P75"/>
    <mergeCell ref="E77:P77"/>
    <mergeCell ref="E78:J78"/>
    <mergeCell ref="K78:P78"/>
    <mergeCell ref="G79:H79"/>
    <mergeCell ref="I79:J79"/>
    <mergeCell ref="K79:L79"/>
    <mergeCell ref="G83:H83"/>
    <mergeCell ref="G84:H84"/>
    <mergeCell ref="M85:N85"/>
    <mergeCell ref="O85:P85"/>
    <mergeCell ref="G80:H80"/>
    <mergeCell ref="I80:J80"/>
    <mergeCell ref="M63:N63"/>
    <mergeCell ref="O63:P63"/>
    <mergeCell ref="M64:N64"/>
    <mergeCell ref="O64:P64"/>
    <mergeCell ref="E66:P66"/>
    <mergeCell ref="E67:G67"/>
    <mergeCell ref="H67:J67"/>
    <mergeCell ref="K67:P67"/>
    <mergeCell ref="K68:L68"/>
    <mergeCell ref="M68:N68"/>
    <mergeCell ref="O68:P68"/>
    <mergeCell ref="G81:H81"/>
    <mergeCell ref="I81:J81"/>
    <mergeCell ref="I82:J82"/>
    <mergeCell ref="I83:J83"/>
    <mergeCell ref="I84:J84"/>
    <mergeCell ref="G82:H82"/>
    <mergeCell ref="O41:P41"/>
    <mergeCell ref="G42:I42"/>
    <mergeCell ref="O42:P42"/>
    <mergeCell ref="E55:P55"/>
    <mergeCell ref="E56:G56"/>
    <mergeCell ref="H56:J56"/>
    <mergeCell ref="K56:P56"/>
    <mergeCell ref="K57:L57"/>
    <mergeCell ref="M57:N57"/>
    <mergeCell ref="O57:P57"/>
    <mergeCell ref="M41:N41"/>
    <mergeCell ref="M42:N42"/>
    <mergeCell ref="E44:P44"/>
    <mergeCell ref="E45:G45"/>
    <mergeCell ref="H45:J45"/>
    <mergeCell ref="K45:P45"/>
    <mergeCell ref="K46:L46"/>
    <mergeCell ref="M46:N46"/>
    <mergeCell ref="O46:P46"/>
    <mergeCell ref="M52:N52"/>
    <mergeCell ref="O52:P52"/>
    <mergeCell ref="G53:I53"/>
    <mergeCell ref="M53:N53"/>
    <mergeCell ref="O53:P53"/>
    <mergeCell ref="E17:P17"/>
    <mergeCell ref="E18:G18"/>
    <mergeCell ref="H18:J18"/>
    <mergeCell ref="K18:P18"/>
    <mergeCell ref="K19:L19"/>
    <mergeCell ref="M19:N19"/>
    <mergeCell ref="O19:P19"/>
    <mergeCell ref="R19:U19"/>
    <mergeCell ref="AB34:AD34"/>
    <mergeCell ref="K13:L13"/>
    <mergeCell ref="M13:N13"/>
    <mergeCell ref="O13:P13"/>
    <mergeCell ref="K14:L14"/>
    <mergeCell ref="M14:N14"/>
    <mergeCell ref="O14:P14"/>
    <mergeCell ref="K15:L15"/>
    <mergeCell ref="M15:N15"/>
    <mergeCell ref="O15:P15"/>
    <mergeCell ref="E9:P9"/>
    <mergeCell ref="K10:L10"/>
    <mergeCell ref="M10:N10"/>
    <mergeCell ref="O10:P10"/>
    <mergeCell ref="K11:L11"/>
    <mergeCell ref="M11:N11"/>
    <mergeCell ref="O11:P11"/>
    <mergeCell ref="M12:N12"/>
    <mergeCell ref="O12:P12"/>
    <mergeCell ref="K12:L12"/>
    <mergeCell ref="E1:F1"/>
    <mergeCell ref="M2:P2"/>
    <mergeCell ref="F3:O3"/>
    <mergeCell ref="E4:P4"/>
    <mergeCell ref="K5:L6"/>
    <mergeCell ref="M5:N6"/>
    <mergeCell ref="O5:P6"/>
    <mergeCell ref="I5:J6"/>
    <mergeCell ref="I7:J8"/>
    <mergeCell ref="K7:L8"/>
    <mergeCell ref="M7:N8"/>
    <mergeCell ref="O7:P8"/>
  </mergeCells>
  <conditionalFormatting sqref="F5">
    <cfRule type="expression" dxfId="381" priority="1">
      <formula>IF(TODAY()&gt;=F5+355,1,0)</formula>
    </cfRule>
  </conditionalFormatting>
  <conditionalFormatting sqref="L20:L39">
    <cfRule type="cellIs" dxfId="380" priority="2" operator="lessThan">
      <formula>F20:F28</formula>
    </cfRule>
  </conditionalFormatting>
  <conditionalFormatting sqref="L47:L50">
    <cfRule type="cellIs" dxfId="379" priority="3" operator="lessThan">
      <formula>F47:F50</formula>
    </cfRule>
  </conditionalFormatting>
  <conditionalFormatting sqref="L58:L61">
    <cfRule type="cellIs" dxfId="378" priority="4" operator="lessThan">
      <formula>F58:F61</formula>
    </cfRule>
  </conditionalFormatting>
  <conditionalFormatting sqref="L69:L72">
    <cfRule type="cellIs" dxfId="377" priority="5" operator="lessThan">
      <formula>F69:F72</formula>
    </cfRule>
  </conditionalFormatting>
  <conditionalFormatting sqref="K20:P40 K47:P50 K58:P61 K69:P72">
    <cfRule type="cellIs" dxfId="376" priority="6" operator="between">
      <formula>TODAY()-20</formula>
      <formula>TODAY()</formula>
    </cfRule>
  </conditionalFormatting>
  <conditionalFormatting sqref="C1:E1 C2:F2">
    <cfRule type="expression" dxfId="375" priority="7">
      <formula>$F$1="NO"</formula>
    </cfRule>
  </conditionalFormatting>
  <conditionalFormatting sqref="C1:E1 C2:F2">
    <cfRule type="expression" dxfId="374" priority="8">
      <formula>$F$1="SI"</formula>
    </cfRule>
  </conditionalFormatting>
  <conditionalFormatting sqref="G1">
    <cfRule type="expression" dxfId="373" priority="9">
      <formula>$F$1="NO"</formula>
    </cfRule>
  </conditionalFormatting>
  <conditionalFormatting sqref="G1">
    <cfRule type="expression" dxfId="372" priority="10">
      <formula>$F$1="SI"</formula>
    </cfRule>
  </conditionalFormatting>
  <conditionalFormatting sqref="H105:I122">
    <cfRule type="cellIs" dxfId="371" priority="11" operator="notEqual">
      <formula>0</formula>
    </cfRule>
  </conditionalFormatting>
  <conditionalFormatting sqref="O7:P8">
    <cfRule type="cellIs" dxfId="370" priority="12" operator="equal">
      <formula>"PARALIZADA"</formula>
    </cfRule>
  </conditionalFormatting>
  <conditionalFormatting sqref="O7:P8">
    <cfRule type="cellIs" dxfId="369" priority="13" operator="equal">
      <formula>"EN EJECUCIÓN"</formula>
    </cfRule>
  </conditionalFormatting>
  <conditionalFormatting sqref="O7:P8">
    <cfRule type="cellIs" dxfId="368" priority="14" operator="equal">
      <formula>"TERMINADA"</formula>
    </cfRule>
  </conditionalFormatting>
  <conditionalFormatting sqref="O7:P8">
    <cfRule type="cellIs" dxfId="367" priority="15" operator="equal">
      <formula>"COMPLETADA"</formula>
    </cfRule>
  </conditionalFormatting>
  <conditionalFormatting sqref="L20:L39 L47:L50 L58:L61 L69:L72 L81:L83 N20:N39 N47:N50 N58:N61 N69:N72 P20:P39 P47:P50 P58:P61 P69:P72">
    <cfRule type="cellIs" dxfId="366" priority="16" operator="equal">
      <formula>"DEV"</formula>
    </cfRule>
  </conditionalFormatting>
  <conditionalFormatting sqref="L20:L39 L47:L50 L58:L61 L69:L72 L81:L83 N20:N39 N47:N50 N58:N61 N69:N72 P20:P39 P47:P50 P58:P61 P69:P72">
    <cfRule type="cellIs" dxfId="365" priority="17" operator="equal">
      <formula>"no pago"</formula>
    </cfRule>
  </conditionalFormatting>
  <conditionalFormatting sqref="F22:F72">
    <cfRule type="expression" dxfId="364" priority="18">
      <formula>IF(L22:L72="DEV",1,IF(L22:L72="no pago",1,0))</formula>
    </cfRule>
  </conditionalFormatting>
  <conditionalFormatting sqref="H22:H72">
    <cfRule type="expression" dxfId="363" priority="19">
      <formula>IF(N22:N72="DEV",1,IF(N22:N72="no pago",1,0))</formula>
    </cfRule>
  </conditionalFormatting>
  <conditionalFormatting sqref="I22:I72">
    <cfRule type="expression" dxfId="362" priority="20">
      <formula>IF(P22:P72="DEV",1,IF(P22:P72="no pago",1,0))</formula>
    </cfRule>
  </conditionalFormatting>
  <hyperlinks>
    <hyperlink ref="P1" location="null!A1" display="&lt; VOLVER" xr:uid="{00000000-0004-0000-0800-000000000000}"/>
    <hyperlink ref="R3" location="null!A1" display="'BASE DATOS'!A1" xr:uid="{00000000-0004-0000-0800-000001000000}"/>
  </hyperlinks>
  <printOptions horizontalCentered="1"/>
  <pageMargins left="0.23622047244094491" right="0.19685039370078741" top="0.39370078740157483" bottom="0.31496062992125984" header="0" footer="0"/>
  <pageSetup paperSize="9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major</dc:creator>
  <cp:keywords/>
  <dc:description/>
  <cp:lastModifiedBy>Mercedes Bustamante</cp:lastModifiedBy>
  <cp:revision/>
  <dcterms:created xsi:type="dcterms:W3CDTF">2022-06-09T16:15:13Z</dcterms:created>
  <dcterms:modified xsi:type="dcterms:W3CDTF">2022-07-27T15:10:52Z</dcterms:modified>
  <cp:category/>
  <cp:contentStatus/>
</cp:coreProperties>
</file>